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2240" windowHeight="9240"/>
  </bookViews>
  <sheets>
    <sheet name="List1" sheetId="1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K53" i="1" l="1"/>
  <c r="L53" i="1" s="1"/>
  <c r="M53" i="1" s="1"/>
  <c r="N53" i="1" s="1"/>
  <c r="O53" i="1" s="1"/>
  <c r="P53" i="1" s="1"/>
  <c r="K52" i="1"/>
  <c r="L52" i="1" s="1"/>
  <c r="M52" i="1" s="1"/>
  <c r="N52" i="1" s="1"/>
  <c r="O52" i="1" s="1"/>
  <c r="L51" i="1"/>
  <c r="M51" i="1" s="1"/>
  <c r="N51" i="1" s="1"/>
  <c r="K51" i="1"/>
  <c r="L50" i="1"/>
  <c r="M50" i="1" s="1"/>
  <c r="N50" i="1" s="1"/>
  <c r="K50" i="1"/>
  <c r="L49" i="1"/>
  <c r="M49" i="1" s="1"/>
  <c r="N49" i="1" s="1"/>
  <c r="K49" i="1"/>
  <c r="L48" i="1"/>
  <c r="M48" i="1" s="1"/>
  <c r="N48" i="1" s="1"/>
  <c r="K48" i="1"/>
  <c r="L47" i="1"/>
  <c r="M47" i="1" s="1"/>
  <c r="N47" i="1" s="1"/>
  <c r="O47" i="1" s="1"/>
  <c r="K47" i="1"/>
  <c r="P23" i="1" l="1"/>
  <c r="P29" i="1"/>
  <c r="P25" i="1"/>
  <c r="P13" i="1"/>
  <c r="P8" i="1"/>
  <c r="P54" i="1"/>
  <c r="P34" i="1"/>
  <c r="P32" i="1"/>
  <c r="P31" i="1"/>
  <c r="P26" i="1"/>
  <c r="P22" i="1"/>
  <c r="P20" i="1"/>
  <c r="P12" i="1"/>
  <c r="P39" i="1"/>
  <c r="P38" i="1"/>
  <c r="O54" i="1"/>
  <c r="O34" i="1"/>
  <c r="O32" i="1"/>
  <c r="O31" i="1"/>
  <c r="O29" i="1"/>
  <c r="O26" i="1"/>
  <c r="O25" i="1"/>
  <c r="O24" i="1"/>
  <c r="O23" i="1"/>
  <c r="O22" i="1"/>
  <c r="O20" i="1"/>
  <c r="O13" i="1"/>
  <c r="O12" i="1"/>
  <c r="O8" i="1"/>
  <c r="O5" i="1"/>
  <c r="O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1" i="1"/>
  <c r="K10" i="1"/>
  <c r="K9" i="1"/>
  <c r="K8" i="1"/>
  <c r="K7" i="1"/>
  <c r="K6" i="1"/>
  <c r="K5" i="1"/>
  <c r="K4" i="1"/>
  <c r="P35" i="1" l="1"/>
  <c r="N54" i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4" i="1"/>
  <c r="M5" i="1" l="1"/>
  <c r="N5" i="1" s="1"/>
  <c r="M6" i="1"/>
  <c r="N6" i="1" s="1"/>
  <c r="M7" i="1"/>
  <c r="N7" i="1" s="1"/>
  <c r="M8" i="1"/>
  <c r="N8" i="1" s="1"/>
  <c r="M9" i="1"/>
  <c r="N9" i="1" s="1"/>
  <c r="M10" i="1"/>
  <c r="N10" i="1" s="1"/>
  <c r="M11" i="1"/>
  <c r="N11" i="1" s="1"/>
  <c r="M12" i="1"/>
  <c r="N12" i="1" s="1"/>
  <c r="M13" i="1"/>
  <c r="N13" i="1" s="1"/>
  <c r="M14" i="1"/>
  <c r="N14" i="1" s="1"/>
  <c r="M15" i="1"/>
  <c r="N15" i="1" s="1"/>
  <c r="M16" i="1"/>
  <c r="N16" i="1" s="1"/>
  <c r="M17" i="1"/>
  <c r="N17" i="1" s="1"/>
  <c r="M18" i="1"/>
  <c r="N18" i="1" s="1"/>
  <c r="M19" i="1"/>
  <c r="N19" i="1" s="1"/>
  <c r="M20" i="1"/>
  <c r="N20" i="1" s="1"/>
  <c r="M21" i="1"/>
  <c r="N21" i="1" s="1"/>
  <c r="M22" i="1"/>
  <c r="N22" i="1" s="1"/>
  <c r="M23" i="1"/>
  <c r="N23" i="1" s="1"/>
  <c r="M24" i="1"/>
  <c r="N24" i="1" s="1"/>
  <c r="M25" i="1"/>
  <c r="N25" i="1" s="1"/>
  <c r="M26" i="1"/>
  <c r="N26" i="1" s="1"/>
  <c r="M27" i="1"/>
  <c r="N27" i="1" s="1"/>
  <c r="M28" i="1"/>
  <c r="N28" i="1" s="1"/>
  <c r="M29" i="1"/>
  <c r="N29" i="1" s="1"/>
  <c r="M30" i="1"/>
  <c r="N30" i="1" s="1"/>
  <c r="M31" i="1"/>
  <c r="N31" i="1" s="1"/>
  <c r="M32" i="1"/>
  <c r="N32" i="1" s="1"/>
  <c r="M33" i="1"/>
  <c r="N33" i="1" s="1"/>
  <c r="M34" i="1"/>
  <c r="N34" i="1" s="1"/>
  <c r="M4" i="1"/>
  <c r="N4" i="1" l="1"/>
  <c r="N35" i="1" s="1"/>
  <c r="E17" i="1"/>
  <c r="E4" i="1"/>
  <c r="G17" i="1" l="1"/>
  <c r="G9" i="1"/>
  <c r="G4" i="1"/>
  <c r="G48" i="1" l="1"/>
  <c r="E48" i="1"/>
  <c r="E52" i="1"/>
  <c r="G14" i="1" l="1"/>
  <c r="I54" i="1" l="1"/>
  <c r="G32" i="1" l="1"/>
  <c r="H31" i="1" l="1"/>
  <c r="H35" i="1" s="1"/>
  <c r="F31" i="1"/>
  <c r="D4" i="1" l="1"/>
  <c r="E5" i="1"/>
  <c r="E9" i="1"/>
  <c r="E31" i="1"/>
  <c r="E27" i="1"/>
  <c r="E15" i="1"/>
  <c r="D15" i="1"/>
  <c r="E14" i="1"/>
  <c r="D18" i="1"/>
  <c r="E18" i="1"/>
  <c r="E32" i="1"/>
  <c r="D32" i="1"/>
  <c r="C59" i="1" l="1"/>
  <c r="I35" i="1"/>
</calcChain>
</file>

<file path=xl/comments1.xml><?xml version="1.0" encoding="utf-8"?>
<comments xmlns="http://schemas.openxmlformats.org/spreadsheetml/2006/main">
  <authors>
    <author>Dvořáková Pavla</author>
  </authors>
  <commentList>
    <comment ref="D21" authorId="0">
      <text>
        <r>
          <rPr>
            <b/>
            <sz val="9"/>
            <color indexed="81"/>
            <rFont val="Tahoma"/>
            <charset val="1"/>
          </rPr>
          <t>Dvořáková Pavla:</t>
        </r>
        <r>
          <rPr>
            <sz val="9"/>
            <color indexed="81"/>
            <rFont val="Tahoma"/>
            <charset val="1"/>
          </rPr>
          <t xml:space="preserve">
dotace ze sportu</t>
        </r>
      </text>
    </comment>
  </commentList>
</comments>
</file>

<file path=xl/sharedStrings.xml><?xml version="1.0" encoding="utf-8"?>
<sst xmlns="http://schemas.openxmlformats.org/spreadsheetml/2006/main" count="151" uniqueCount="115">
  <si>
    <t>č.</t>
  </si>
  <si>
    <t>žadatel</t>
  </si>
  <si>
    <t>celkové náklady</t>
  </si>
  <si>
    <t>BODY CELKEM (0-50)</t>
  </si>
  <si>
    <t>NÁVRH KK</t>
  </si>
  <si>
    <t>projekt</t>
  </si>
  <si>
    <t>Křesťanský klub Beroun, z.s.</t>
  </si>
  <si>
    <t>Lomikámen, z.ú.</t>
  </si>
  <si>
    <t>MgA. et Mgr. Terezie Dudová</t>
  </si>
  <si>
    <t>Rozvoj baletní výchovy v Berouně</t>
  </si>
  <si>
    <t>MFF Praha - Febiofest, s.r.o.</t>
  </si>
  <si>
    <t>Mgr. Bohumila Vokáčová</t>
  </si>
  <si>
    <t>Řemesla na muzejním dvorku</t>
  </si>
  <si>
    <t>nežádali</t>
  </si>
  <si>
    <t>dotace 2018 na daný projekt</t>
  </si>
  <si>
    <t>dotace MB 2017 celkem</t>
  </si>
  <si>
    <t>dotace MB 2018 celkem</t>
  </si>
  <si>
    <t>Muzeum Českého krasu, příspěvková organizace</t>
  </si>
  <si>
    <t>nežádala</t>
  </si>
  <si>
    <t>Cyklus besed Setkání s autory, které máte rádi</t>
  </si>
  <si>
    <t>Petr Nejepsa</t>
  </si>
  <si>
    <t>Soukromá ZUŠ Dr. Lidinské</t>
  </si>
  <si>
    <t>ŠANCE ŽÍT - CHANCE BE LIVE, z. s.</t>
  </si>
  <si>
    <t>Kruh přátel hudby Beroun</t>
  </si>
  <si>
    <t>Hudební mazec 2019</t>
  </si>
  <si>
    <t>Vladimír Mužík</t>
  </si>
  <si>
    <t>Jungmannka hledá Slavíčka</t>
  </si>
  <si>
    <t>nežádal</t>
  </si>
  <si>
    <t>CELKEM</t>
  </si>
  <si>
    <t>DOTACE NA KULTURNÍ ČINNOST VE MĚSTĚ BEROUN PRO ROK 2020</t>
  </si>
  <si>
    <t>požadavek na dotaci 2020</t>
  </si>
  <si>
    <t>ZBÝVÁ</t>
  </si>
  <si>
    <t>Stranou - evropští básníci naživo</t>
  </si>
  <si>
    <t>RC Slunečnice</t>
  </si>
  <si>
    <t>Mgr. Robert Štolba</t>
  </si>
  <si>
    <t>Smíšený pěvecký sbor Slavoš Beroun z.s.</t>
  </si>
  <si>
    <t>Základní umělecká škola Václava Talicha</t>
  </si>
  <si>
    <t>Dům dětí a mládeže Beroun, příspěvková organizace</t>
  </si>
  <si>
    <t>LEGENDA:</t>
  </si>
  <si>
    <r>
      <rPr>
        <vertAlign val="superscript"/>
        <sz val="12"/>
        <color theme="1"/>
        <rFont val="Calibri"/>
        <family val="2"/>
        <charset val="238"/>
        <scheme val="minor"/>
      </rPr>
      <t>2</t>
    </r>
    <r>
      <rPr>
        <sz val="12"/>
        <color theme="1"/>
        <rFont val="Calibri"/>
        <family val="2"/>
        <charset val="238"/>
        <scheme val="minor"/>
      </rPr>
      <t xml:space="preserve"> MB - Město Beroun.</t>
    </r>
  </si>
  <si>
    <r>
      <rPr>
        <vertAlign val="superscript"/>
        <sz val="12"/>
        <color theme="1"/>
        <rFont val="Calibri"/>
        <family val="2"/>
        <charset val="238"/>
        <scheme val="minor"/>
      </rPr>
      <t>3</t>
    </r>
    <r>
      <rPr>
        <sz val="12"/>
        <color theme="1"/>
        <rFont val="Calibri"/>
        <family val="2"/>
        <charset val="238"/>
        <scheme val="minor"/>
      </rPr>
      <t xml:space="preserve"> Ing. Vojtěch Karpíšek nahrazuje od roku 2019 Mgr. Marii Holečkovou v roli organizátora zmíněného cyklu besed.</t>
    </r>
  </si>
  <si>
    <r>
      <t>dotace MB</t>
    </r>
    <r>
      <rPr>
        <vertAlign val="superscript"/>
        <sz val="14"/>
        <color theme="1"/>
        <rFont val="Calibri"/>
        <family val="2"/>
        <charset val="238"/>
        <scheme val="minor"/>
      </rPr>
      <t>2</t>
    </r>
    <r>
      <rPr>
        <sz val="14"/>
        <color theme="1"/>
        <rFont val="Calibri"/>
        <family val="2"/>
        <charset val="238"/>
        <scheme val="minor"/>
      </rPr>
      <t xml:space="preserve"> 2017 celkem</t>
    </r>
  </si>
  <si>
    <r>
      <t>Ing. Vojtěch Karpíšek</t>
    </r>
    <r>
      <rPr>
        <b/>
        <vertAlign val="superscript"/>
        <sz val="14"/>
        <rFont val="Calibri"/>
        <family val="2"/>
        <charset val="238"/>
        <scheme val="minor"/>
      </rPr>
      <t>3</t>
    </r>
  </si>
  <si>
    <t>dotace MB 2019 celkem</t>
  </si>
  <si>
    <t>dotace MB 2018 na daný projekt</t>
  </si>
  <si>
    <t>dotace MB 2019 na daný projekt</t>
  </si>
  <si>
    <t xml:space="preserve">Mgr. Robert Štolba </t>
  </si>
  <si>
    <t>DOTACE NA KULTURNÍ ČINNOST VE MĚSTĚ BEROUN PRO ROK 2021</t>
  </si>
  <si>
    <t>Vánoční koncert, Big band Václava Zelinky</t>
  </si>
  <si>
    <t>požadavek na dotaci 2021</t>
  </si>
  <si>
    <t>DH Berouňačka a DH Berounská šestka</t>
  </si>
  <si>
    <t>Jungmannova základní škola Beroun</t>
  </si>
  <si>
    <t>Koncertní činnost v roce 2020</t>
  </si>
  <si>
    <t>Stranou, z.s.</t>
  </si>
  <si>
    <t>Voda nad zlato - voda v krajině</t>
  </si>
  <si>
    <t>Staří, mladí, hudbou hladí…Mladí, staří, všem se daří</t>
  </si>
  <si>
    <t>Mladí duchem - brouci, my a big beat</t>
  </si>
  <si>
    <t>Lady karneval</t>
  </si>
  <si>
    <t xml:space="preserve">Tvořivé podvečery </t>
  </si>
  <si>
    <t>27. Mezinárodní filmový festival Praha Febiofest 2020 REGIONÁLNÍ OZVĚNY BEROUN</t>
  </si>
  <si>
    <t>Kultura v Jiné kávě 2020</t>
  </si>
  <si>
    <t>Kultura v Jiné kávě 2021</t>
  </si>
  <si>
    <t>Tatínkovo divadélko</t>
  </si>
  <si>
    <t>Koncert pro rodiny s dětmi</t>
  </si>
  <si>
    <t>NA ROHU U NÁS, z.s.</t>
  </si>
  <si>
    <t>Equus</t>
  </si>
  <si>
    <t>Celoroční koncertní program pěveckého sboru Bonbon</t>
  </si>
  <si>
    <t>Taneční Klub Romany Chvátalové s.r.o.</t>
  </si>
  <si>
    <t>Velká cena města Berouna - 23. ročník</t>
  </si>
  <si>
    <t>Velká cena města Berouna - 24. ročník</t>
  </si>
  <si>
    <t>Tradiční (51-ti letá) exkluzivní prezentace klasické komorní hudby v Berouně</t>
  </si>
  <si>
    <t>Kruh přátel výtvarného umění Beroun - spolek</t>
  </si>
  <si>
    <t>Plán akcí KPVU Beroun na rok 2021</t>
  </si>
  <si>
    <t>Plán akcí KPVU Beroun na rok 2020</t>
  </si>
  <si>
    <t>Čarodějnice Beroun</t>
  </si>
  <si>
    <t>RNDr. Irena Bucharová</t>
  </si>
  <si>
    <t>Berounský FOTOBLÁZINEC - 8. ročník</t>
  </si>
  <si>
    <t>Charita Beroun</t>
  </si>
  <si>
    <t>Adventní koncert, vystoupení Allegro Noc Brio</t>
  </si>
  <si>
    <t>Kulturní pořady pro nejmenší</t>
  </si>
  <si>
    <t>Setkávání v muzeu 2020</t>
  </si>
  <si>
    <t>16. Muzejní noc 2019 na téma "Noc plná koleček"</t>
  </si>
  <si>
    <t>Klubové večery Modrýho Berouna 2020</t>
  </si>
  <si>
    <t>Cestovatelské večery Modrýho Berouna 2020</t>
  </si>
  <si>
    <r>
      <t>Modrej Beroun, z.s.</t>
    </r>
    <r>
      <rPr>
        <b/>
        <vertAlign val="superscript"/>
        <sz val="14"/>
        <color theme="1"/>
        <rFont val="Calibri"/>
        <family val="2"/>
        <charset val="238"/>
        <scheme val="minor"/>
      </rPr>
      <t>4</t>
    </r>
  </si>
  <si>
    <t>REKAPITULACE - ROK 2020</t>
  </si>
  <si>
    <t>FINANČNÍ PROSTŘEDKY PRO ROK 2020</t>
  </si>
  <si>
    <t>ROZDĚLENÉ DOTACE (Berdych - 2letý grant)</t>
  </si>
  <si>
    <t>17B</t>
  </si>
  <si>
    <t>17A</t>
  </si>
  <si>
    <t>12A</t>
  </si>
  <si>
    <t>12B</t>
  </si>
  <si>
    <t>7A</t>
  </si>
  <si>
    <t>7B</t>
  </si>
  <si>
    <t>14A</t>
  </si>
  <si>
    <t>14B</t>
  </si>
  <si>
    <t>4A</t>
  </si>
  <si>
    <t>4B</t>
  </si>
  <si>
    <t>2A</t>
  </si>
  <si>
    <t>2B</t>
  </si>
  <si>
    <t>18A</t>
  </si>
  <si>
    <t>18B</t>
  </si>
  <si>
    <t>%</t>
  </si>
  <si>
    <t>zaokrouhlení na celé stovky Kč</t>
  </si>
  <si>
    <r>
      <rPr>
        <vertAlign val="superscript"/>
        <sz val="12"/>
        <color theme="1"/>
        <rFont val="Calibri"/>
        <family val="2"/>
        <charset val="238"/>
        <scheme val="minor"/>
      </rPr>
      <t>1</t>
    </r>
    <r>
      <rPr>
        <sz val="12"/>
        <color theme="1"/>
        <rFont val="Calibri"/>
        <family val="2"/>
        <charset val="238"/>
        <scheme val="minor"/>
      </rPr>
      <t xml:space="preserve"> Zeleně jsou zvýrazněny víceleté projekty.</t>
    </r>
  </si>
  <si>
    <r>
      <rPr>
        <vertAlign val="superscript"/>
        <sz val="12"/>
        <color theme="1"/>
        <rFont val="Calibri"/>
        <family val="2"/>
        <charset val="238"/>
        <scheme val="minor"/>
      </rPr>
      <t>4</t>
    </r>
    <r>
      <rPr>
        <sz val="12"/>
        <color theme="1"/>
        <rFont val="Calibri"/>
        <family val="2"/>
        <charset val="238"/>
        <scheme val="minor"/>
      </rPr>
      <t xml:space="preserve"> Modrej Beroun doručil žádost o dotaci 5 hodin po termínu. Komise rozhodla o jeho zařazení mezi hodnocené projekty.</t>
    </r>
  </si>
  <si>
    <r>
      <t>Krok 2 rozdělení zbývající částky</t>
    </r>
    <r>
      <rPr>
        <b/>
        <vertAlign val="superscript"/>
        <sz val="14"/>
        <color theme="1"/>
        <rFont val="Calibri"/>
        <family val="2"/>
        <charset val="238"/>
        <scheme val="minor"/>
      </rPr>
      <t>6</t>
    </r>
  </si>
  <si>
    <r>
      <rPr>
        <vertAlign val="superscript"/>
        <sz val="12"/>
        <color theme="1"/>
        <rFont val="Calibri"/>
        <family val="2"/>
        <charset val="238"/>
        <scheme val="minor"/>
      </rPr>
      <t>5</t>
    </r>
    <r>
      <rPr>
        <sz val="12"/>
        <color theme="1"/>
        <rFont val="Calibri"/>
        <family val="2"/>
        <charset val="238"/>
        <scheme val="minor"/>
      </rPr>
      <t xml:space="preserve"> KROK 1 rozdělení zbývající částky: Projekty, které získaly více jak 40 bodů, obdržely 100 % požadované dotace. Projekty, u kterých je požadovaná dotace 10.000 Kč a méně, obdržely 100 % požadované dotace.</t>
    </r>
  </si>
  <si>
    <r>
      <rPr>
        <vertAlign val="superscript"/>
        <sz val="12"/>
        <color theme="1"/>
        <rFont val="Calibri"/>
        <family val="2"/>
        <charset val="238"/>
        <scheme val="minor"/>
      </rPr>
      <t>6</t>
    </r>
    <r>
      <rPr>
        <sz val="12"/>
        <color theme="1"/>
        <rFont val="Calibri"/>
        <family val="2"/>
        <charset val="238"/>
        <scheme val="minor"/>
      </rPr>
      <t xml:space="preserve"> KROK 2 rozdělení zbývající částky: Částka zbývající k rozdělení se rozpočítala mezi projekty, které získaly 38 a 39 bodů (tzn. 45140 Kč/6 projektů=zaokrouhl.7500 Kč), avšak maximálně do výše požadované dotace. Po tomto kroku zbývá k rozdělení částka 4140 Kč, která je dle rozhodnutí Komise připsána žadateli Slavoš.</t>
    </r>
  </si>
  <si>
    <t>částka zbývající k rozdělení v rámci KROKU 2</t>
  </si>
  <si>
    <t>částka k rozdělení mezi projekty s 38 a 39 body</t>
  </si>
  <si>
    <r>
      <t>Krok 1 rozdělení zbývající částky</t>
    </r>
    <r>
      <rPr>
        <vertAlign val="superscript"/>
        <sz val="14"/>
        <color theme="1"/>
        <rFont val="Calibri"/>
        <family val="2"/>
        <charset val="238"/>
        <scheme val="minor"/>
      </rPr>
      <t>5</t>
    </r>
  </si>
  <si>
    <r>
      <t>Krok 2 rozdělení zbývající částky</t>
    </r>
    <r>
      <rPr>
        <vertAlign val="superscript"/>
        <sz val="14"/>
        <color theme="1"/>
        <rFont val="Calibri"/>
        <family val="2"/>
        <charset val="238"/>
        <scheme val="minor"/>
      </rPr>
      <t>6</t>
    </r>
  </si>
  <si>
    <t>ŽÁDOSTI O DOTACE 2020 - VÝSLEDEK JEDNÁNÍ KOMISE PRO KULTURU A KULTURNÍ DOTACE</t>
  </si>
  <si>
    <t>Zpracovala Ing. Pavla Dvořáková dne 20.11.2019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</si>
</sst>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4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  <font>
      <vertAlign val="superscript"/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9" fontId="17" fillId="0" borderId="0" applyFont="0" applyFill="0" applyBorder="0" applyAlignment="0" applyProtection="0"/>
    <xf numFmtId="44" fontId="17" fillId="0" borderId="0" applyFont="0" applyFill="0" applyBorder="0" applyAlignment="0" applyProtection="0"/>
  </cellStyleXfs>
  <cellXfs count="203">
    <xf numFmtId="0" fontId="0" fillId="0" borderId="0" xfId="0"/>
    <xf numFmtId="164" fontId="0" fillId="0" borderId="0" xfId="0" applyNumberFormat="1"/>
    <xf numFmtId="164" fontId="2" fillId="0" borderId="1" xfId="0" applyNumberFormat="1" applyFont="1" applyBorder="1"/>
    <xf numFmtId="0" fontId="2" fillId="0" borderId="1" xfId="0" applyFont="1" applyBorder="1"/>
    <xf numFmtId="0" fontId="7" fillId="0" borderId="1" xfId="0" applyFont="1" applyBorder="1"/>
    <xf numFmtId="164" fontId="7" fillId="0" borderId="1" xfId="0" applyNumberFormat="1" applyFont="1" applyBorder="1"/>
    <xf numFmtId="0" fontId="2" fillId="3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0" fontId="2" fillId="2" borderId="1" xfId="0" applyFont="1" applyFill="1" applyBorder="1"/>
    <xf numFmtId="164" fontId="3" fillId="3" borderId="1" xfId="0" applyNumberFormat="1" applyFont="1" applyFill="1" applyBorder="1"/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164" fontId="0" fillId="0" borderId="0" xfId="0" applyNumberFormat="1" applyFill="1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2" borderId="7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164" fontId="7" fillId="2" borderId="1" xfId="0" applyNumberFormat="1" applyFont="1" applyFill="1" applyBorder="1"/>
    <xf numFmtId="164" fontId="3" fillId="3" borderId="7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right" vertical="center"/>
    </xf>
    <xf numFmtId="164" fontId="2" fillId="7" borderId="9" xfId="0" applyNumberFormat="1" applyFont="1" applyFill="1" applyBorder="1" applyAlignment="1">
      <alignment horizontal="right" vertical="center"/>
    </xf>
    <xf numFmtId="164" fontId="3" fillId="7" borderId="9" xfId="0" applyNumberFormat="1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center" vertical="center"/>
    </xf>
    <xf numFmtId="0" fontId="0" fillId="7" borderId="0" xfId="0" applyFill="1"/>
    <xf numFmtId="0" fontId="2" fillId="7" borderId="5" xfId="0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164" fontId="2" fillId="7" borderId="5" xfId="0" applyNumberFormat="1" applyFont="1" applyFill="1" applyBorder="1" applyAlignment="1">
      <alignment horizontal="right" vertical="center"/>
    </xf>
    <xf numFmtId="164" fontId="2" fillId="7" borderId="0" xfId="0" applyNumberFormat="1" applyFont="1" applyFill="1" applyBorder="1" applyAlignment="1">
      <alignment horizontal="right" vertical="center"/>
    </xf>
    <xf numFmtId="164" fontId="2" fillId="7" borderId="17" xfId="0" applyNumberFormat="1" applyFont="1" applyFill="1" applyBorder="1" applyAlignment="1">
      <alignment horizontal="right" vertical="center"/>
    </xf>
    <xf numFmtId="164" fontId="3" fillId="7" borderId="0" xfId="0" applyNumberFormat="1" applyFont="1" applyFill="1" applyBorder="1" applyAlignment="1">
      <alignment horizontal="right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/>
    </xf>
    <xf numFmtId="164" fontId="2" fillId="7" borderId="15" xfId="0" applyNumberFormat="1" applyFont="1" applyFill="1" applyBorder="1" applyAlignment="1">
      <alignment horizontal="right" vertical="center"/>
    </xf>
    <xf numFmtId="164" fontId="3" fillId="7" borderId="10" xfId="0" applyNumberFormat="1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164" fontId="2" fillId="7" borderId="16" xfId="0" applyNumberFormat="1" applyFont="1" applyFill="1" applyBorder="1" applyAlignment="1">
      <alignment horizontal="right" vertical="center"/>
    </xf>
    <xf numFmtId="164" fontId="3" fillId="7" borderId="11" xfId="0" applyNumberFormat="1" applyFont="1" applyFill="1" applyBorder="1" applyAlignment="1">
      <alignment horizontal="right" vertical="center"/>
    </xf>
    <xf numFmtId="0" fontId="3" fillId="7" borderId="16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164" fontId="3" fillId="7" borderId="7" xfId="0" applyNumberFormat="1" applyFont="1" applyFill="1" applyBorder="1" applyAlignment="1">
      <alignment horizontal="right" vertical="center"/>
    </xf>
    <xf numFmtId="0" fontId="2" fillId="7" borderId="24" xfId="0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vertical="center"/>
    </xf>
    <xf numFmtId="0" fontId="2" fillId="7" borderId="12" xfId="0" applyFont="1" applyFill="1" applyBorder="1" applyAlignment="1">
      <alignment horizontal="center" vertical="center"/>
    </xf>
    <xf numFmtId="164" fontId="2" fillId="7" borderId="3" xfId="0" applyNumberFormat="1" applyFont="1" applyFill="1" applyBorder="1" applyAlignment="1">
      <alignment horizontal="right" vertical="center"/>
    </xf>
    <xf numFmtId="164" fontId="3" fillId="7" borderId="12" xfId="0" applyNumberFormat="1" applyFont="1" applyFill="1" applyBorder="1" applyAlignment="1">
      <alignment horizontal="right" vertical="center"/>
    </xf>
    <xf numFmtId="0" fontId="3" fillId="7" borderId="3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right" vertical="center"/>
    </xf>
    <xf numFmtId="164" fontId="3" fillId="7" borderId="13" xfId="0" applyNumberFormat="1" applyFont="1" applyFill="1" applyBorder="1" applyAlignment="1">
      <alignment horizontal="right" vertical="center"/>
    </xf>
    <xf numFmtId="0" fontId="3" fillId="7" borderId="4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0" fontId="2" fillId="7" borderId="21" xfId="0" applyFont="1" applyFill="1" applyBorder="1" applyAlignment="1">
      <alignment horizontal="center" vertical="center"/>
    </xf>
    <xf numFmtId="164" fontId="2" fillId="7" borderId="21" xfId="0" applyNumberFormat="1" applyFont="1" applyFill="1" applyBorder="1" applyAlignment="1">
      <alignment horizontal="right" vertical="center"/>
    </xf>
    <xf numFmtId="164" fontId="3" fillId="7" borderId="21" xfId="0" applyNumberFormat="1" applyFont="1" applyFill="1" applyBorder="1" applyAlignment="1">
      <alignment horizontal="right" vertical="center"/>
    </xf>
    <xf numFmtId="164" fontId="2" fillId="7" borderId="2" xfId="0" applyNumberFormat="1" applyFont="1" applyFill="1" applyBorder="1" applyAlignment="1">
      <alignment horizontal="right" vertical="center"/>
    </xf>
    <xf numFmtId="0" fontId="3" fillId="7" borderId="2" xfId="0" applyFont="1" applyFill="1" applyBorder="1" applyAlignment="1">
      <alignment horizontal="center" vertical="center"/>
    </xf>
    <xf numFmtId="164" fontId="2" fillId="7" borderId="2" xfId="0" applyNumberFormat="1" applyFont="1" applyFill="1" applyBorder="1" applyAlignment="1">
      <alignment vertical="center"/>
    </xf>
    <xf numFmtId="164" fontId="3" fillId="7" borderId="24" xfId="0" applyNumberFormat="1" applyFont="1" applyFill="1" applyBorder="1" applyAlignment="1">
      <alignment horizontal="right" vertical="center"/>
    </xf>
    <xf numFmtId="0" fontId="2" fillId="7" borderId="15" xfId="0" applyFont="1" applyFill="1" applyBorder="1" applyAlignment="1">
      <alignment horizontal="center" vertical="center" wrapText="1"/>
    </xf>
    <xf numFmtId="164" fontId="3" fillId="7" borderId="23" xfId="0" applyNumberFormat="1" applyFont="1" applyFill="1" applyBorder="1" applyAlignment="1">
      <alignment horizontal="right" vertical="center"/>
    </xf>
    <xf numFmtId="0" fontId="2" fillId="7" borderId="2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2" fillId="7" borderId="20" xfId="0" applyFont="1" applyFill="1" applyBorder="1" applyAlignment="1">
      <alignment horizontal="center" vertical="center"/>
    </xf>
    <xf numFmtId="164" fontId="12" fillId="7" borderId="2" xfId="0" applyNumberFormat="1" applyFont="1" applyFill="1" applyBorder="1" applyAlignment="1">
      <alignment vertical="center"/>
    </xf>
    <xf numFmtId="164" fontId="12" fillId="7" borderId="15" xfId="0" applyNumberFormat="1" applyFont="1" applyFill="1" applyBorder="1" applyAlignment="1">
      <alignment horizontal="right" vertical="center"/>
    </xf>
    <xf numFmtId="164" fontId="8" fillId="7" borderId="10" xfId="0" applyNumberFormat="1" applyFont="1" applyFill="1" applyBorder="1" applyAlignment="1">
      <alignment horizontal="right" vertical="center"/>
    </xf>
    <xf numFmtId="0" fontId="8" fillId="7" borderId="15" xfId="0" applyFont="1" applyFill="1" applyBorder="1" applyAlignment="1">
      <alignment horizontal="center" vertical="center"/>
    </xf>
    <xf numFmtId="0" fontId="13" fillId="7" borderId="0" xfId="0" applyFont="1" applyFill="1"/>
    <xf numFmtId="0" fontId="2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2" fillId="8" borderId="9" xfId="0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right" vertical="center"/>
    </xf>
    <xf numFmtId="164" fontId="2" fillId="8" borderId="9" xfId="0" applyNumberFormat="1" applyFont="1" applyFill="1" applyBorder="1" applyAlignment="1">
      <alignment horizontal="right" vertical="center"/>
    </xf>
    <xf numFmtId="164" fontId="3" fillId="8" borderId="9" xfId="0" applyNumberFormat="1" applyFont="1" applyFill="1" applyBorder="1" applyAlignment="1">
      <alignment horizontal="right" vertical="center"/>
    </xf>
    <xf numFmtId="164" fontId="3" fillId="8" borderId="1" xfId="0" applyNumberFormat="1" applyFont="1" applyFill="1" applyBorder="1" applyAlignment="1">
      <alignment horizontal="right" vertical="center"/>
    </xf>
    <xf numFmtId="0" fontId="3" fillId="8" borderId="7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2" fillId="8" borderId="0" xfId="0" applyFont="1" applyFill="1" applyBorder="1" applyAlignment="1">
      <alignment horizontal="center" vertical="center"/>
    </xf>
    <xf numFmtId="164" fontId="2" fillId="8" borderId="5" xfId="0" applyNumberFormat="1" applyFont="1" applyFill="1" applyBorder="1" applyAlignment="1">
      <alignment horizontal="right" vertical="center"/>
    </xf>
    <xf numFmtId="164" fontId="2" fillId="8" borderId="0" xfId="0" applyNumberFormat="1" applyFont="1" applyFill="1" applyBorder="1" applyAlignment="1">
      <alignment horizontal="right" vertical="center"/>
    </xf>
    <xf numFmtId="164" fontId="3" fillId="8" borderId="0" xfId="0" applyNumberFormat="1" applyFont="1" applyFill="1" applyBorder="1" applyAlignment="1">
      <alignment horizontal="right" vertical="center"/>
    </xf>
    <xf numFmtId="0" fontId="3" fillId="8" borderId="5" xfId="0" applyFont="1" applyFill="1" applyBorder="1" applyAlignment="1">
      <alignment horizontal="center" vertical="center"/>
    </xf>
    <xf numFmtId="164" fontId="2" fillId="8" borderId="24" xfId="0" applyNumberFormat="1" applyFont="1" applyFill="1" applyBorder="1" applyAlignment="1">
      <alignment horizontal="right" vertical="center"/>
    </xf>
    <xf numFmtId="164" fontId="2" fillId="8" borderId="1" xfId="0" applyNumberFormat="1" applyFont="1" applyFill="1" applyBorder="1" applyAlignment="1">
      <alignment vertical="center"/>
    </xf>
    <xf numFmtId="164" fontId="12" fillId="8" borderId="1" xfId="0" applyNumberFormat="1" applyFont="1" applyFill="1" applyBorder="1" applyAlignment="1">
      <alignment horizontal="right" vertical="center"/>
    </xf>
    <xf numFmtId="0" fontId="2" fillId="8" borderId="5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/>
    </xf>
    <xf numFmtId="164" fontId="2" fillId="8" borderId="2" xfId="0" applyNumberFormat="1" applyFont="1" applyFill="1" applyBorder="1" applyAlignment="1">
      <alignment horizontal="right" vertical="center"/>
    </xf>
    <xf numFmtId="164" fontId="3" fillId="8" borderId="2" xfId="0" applyNumberFormat="1" applyFont="1" applyFill="1" applyBorder="1" applyAlignment="1">
      <alignment horizontal="right" vertical="center"/>
    </xf>
    <xf numFmtId="0" fontId="3" fillId="8" borderId="17" xfId="0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/>
    </xf>
    <xf numFmtId="164" fontId="3" fillId="8" borderId="17" xfId="0" applyNumberFormat="1" applyFont="1" applyFill="1" applyBorder="1" applyAlignment="1">
      <alignment horizontal="right" vertical="center"/>
    </xf>
    <xf numFmtId="164" fontId="2" fillId="8" borderId="21" xfId="0" applyNumberFormat="1" applyFont="1" applyFill="1" applyBorder="1" applyAlignment="1">
      <alignment horizontal="right" vertical="center"/>
    </xf>
    <xf numFmtId="164" fontId="2" fillId="8" borderId="23" xfId="0" applyNumberFormat="1" applyFont="1" applyFill="1" applyBorder="1" applyAlignment="1">
      <alignment horizontal="right" vertical="center"/>
    </xf>
    <xf numFmtId="164" fontId="3" fillId="8" borderId="5" xfId="0" applyNumberFormat="1" applyFont="1" applyFill="1" applyBorder="1" applyAlignment="1">
      <alignment horizontal="right" vertical="center"/>
    </xf>
    <xf numFmtId="164" fontId="2" fillId="8" borderId="7" xfId="0" applyNumberFormat="1" applyFont="1" applyFill="1" applyBorder="1" applyAlignment="1">
      <alignment horizontal="right" vertical="center"/>
    </xf>
    <xf numFmtId="0" fontId="2" fillId="8" borderId="24" xfId="0" applyFont="1" applyFill="1" applyBorder="1" applyAlignment="1">
      <alignment horizontal="center" vertical="center"/>
    </xf>
    <xf numFmtId="164" fontId="2" fillId="8" borderId="17" xfId="0" applyNumberFormat="1" applyFont="1" applyFill="1" applyBorder="1" applyAlignment="1">
      <alignment horizontal="right" vertical="center"/>
    </xf>
    <xf numFmtId="164" fontId="2" fillId="8" borderId="19" xfId="0" applyNumberFormat="1" applyFont="1" applyFill="1" applyBorder="1" applyAlignment="1">
      <alignment horizontal="right" vertical="center"/>
    </xf>
    <xf numFmtId="0" fontId="0" fillId="3" borderId="7" xfId="0" applyFill="1" applyBorder="1" applyAlignment="1"/>
    <xf numFmtId="0" fontId="0" fillId="3" borderId="1" xfId="0" applyFill="1" applyBorder="1" applyAlignment="1"/>
    <xf numFmtId="7" fontId="3" fillId="7" borderId="1" xfId="2" applyNumberFormat="1" applyFont="1" applyFill="1" applyBorder="1"/>
    <xf numFmtId="7" fontId="3" fillId="7" borderId="4" xfId="2" applyNumberFormat="1" applyFont="1" applyFill="1" applyBorder="1"/>
    <xf numFmtId="7" fontId="3" fillId="7" borderId="15" xfId="2" applyNumberFormat="1" applyFont="1" applyFill="1" applyBorder="1"/>
    <xf numFmtId="7" fontId="3" fillId="7" borderId="16" xfId="2" applyNumberFormat="1" applyFont="1" applyFill="1" applyBorder="1"/>
    <xf numFmtId="7" fontId="3" fillId="8" borderId="1" xfId="2" applyNumberFormat="1" applyFont="1" applyFill="1" applyBorder="1"/>
    <xf numFmtId="7" fontId="7" fillId="3" borderId="17" xfId="2" applyNumberFormat="1" applyFont="1" applyFill="1" applyBorder="1"/>
    <xf numFmtId="7" fontId="3" fillId="8" borderId="17" xfId="2" applyNumberFormat="1" applyFont="1" applyFill="1" applyBorder="1"/>
    <xf numFmtId="0" fontId="6" fillId="0" borderId="0" xfId="0" applyFont="1" applyFill="1" applyBorder="1" applyAlignment="1">
      <alignment horizontal="left" vertical="center"/>
    </xf>
    <xf numFmtId="164" fontId="2" fillId="7" borderId="5" xfId="0" applyNumberFormat="1" applyFont="1" applyFill="1" applyBorder="1" applyAlignment="1">
      <alignment horizontal="right" vertical="center"/>
    </xf>
    <xf numFmtId="7" fontId="0" fillId="0" borderId="0" xfId="0" applyNumberFormat="1"/>
    <xf numFmtId="0" fontId="6" fillId="7" borderId="0" xfId="0" applyFont="1" applyFill="1" applyBorder="1" applyAlignment="1">
      <alignment horizontal="left" vertical="center"/>
    </xf>
    <xf numFmtId="0" fontId="2" fillId="7" borderId="25" xfId="0" applyFont="1" applyFill="1" applyBorder="1" applyAlignment="1">
      <alignment horizontal="center" vertical="center"/>
    </xf>
    <xf numFmtId="164" fontId="2" fillId="7" borderId="18" xfId="0" applyNumberFormat="1" applyFont="1" applyFill="1" applyBorder="1" applyAlignment="1">
      <alignment horizontal="right" vertical="center"/>
    </xf>
    <xf numFmtId="164" fontId="3" fillId="7" borderId="14" xfId="0" applyNumberFormat="1" applyFont="1" applyFill="1" applyBorder="1" applyAlignment="1">
      <alignment horizontal="right" vertical="center"/>
    </xf>
    <xf numFmtId="0" fontId="3" fillId="7" borderId="18" xfId="0" applyFont="1" applyFill="1" applyBorder="1" applyAlignment="1">
      <alignment horizontal="center" vertical="center"/>
    </xf>
    <xf numFmtId="7" fontId="3" fillId="7" borderId="1" xfId="2" applyNumberFormat="1" applyFont="1" applyFill="1" applyBorder="1" applyAlignment="1">
      <alignment vertical="center"/>
    </xf>
    <xf numFmtId="7" fontId="3" fillId="7" borderId="2" xfId="2" applyNumberFormat="1" applyFont="1" applyFill="1" applyBorder="1" applyAlignment="1">
      <alignment vertical="center"/>
    </xf>
    <xf numFmtId="7" fontId="3" fillId="7" borderId="15" xfId="2" applyNumberFormat="1" applyFont="1" applyFill="1" applyBorder="1" applyAlignment="1">
      <alignment vertical="center"/>
    </xf>
    <xf numFmtId="7" fontId="3" fillId="7" borderId="16" xfId="2" applyNumberFormat="1" applyFont="1" applyFill="1" applyBorder="1" applyAlignment="1">
      <alignment vertical="center"/>
    </xf>
    <xf numFmtId="0" fontId="2" fillId="3" borderId="7" xfId="0" applyFont="1" applyFill="1" applyBorder="1" applyAlignment="1">
      <alignment horizontal="center" vertical="center" wrapText="1"/>
    </xf>
    <xf numFmtId="9" fontId="2" fillId="7" borderId="1" xfId="1" applyFont="1" applyFill="1" applyBorder="1" applyAlignment="1">
      <alignment horizontal="center" vertical="center"/>
    </xf>
    <xf numFmtId="164" fontId="2" fillId="7" borderId="24" xfId="0" applyNumberFormat="1" applyFont="1" applyFill="1" applyBorder="1" applyAlignment="1">
      <alignment horizontal="right" vertical="center"/>
    </xf>
    <xf numFmtId="7" fontId="2" fillId="7" borderId="1" xfId="2" applyNumberFormat="1" applyFont="1" applyFill="1" applyBorder="1"/>
    <xf numFmtId="9" fontId="2" fillId="8" borderId="1" xfId="1" applyFont="1" applyFill="1" applyBorder="1" applyAlignment="1">
      <alignment horizontal="center" vertical="center"/>
    </xf>
    <xf numFmtId="7" fontId="2" fillId="8" borderId="1" xfId="2" applyNumberFormat="1" applyFont="1" applyFill="1" applyBorder="1"/>
    <xf numFmtId="7" fontId="2" fillId="7" borderId="2" xfId="2" applyNumberFormat="1" applyFont="1" applyFill="1" applyBorder="1" applyAlignment="1">
      <alignment vertical="center"/>
    </xf>
    <xf numFmtId="9" fontId="2" fillId="7" borderId="15" xfId="1" applyFont="1" applyFill="1" applyBorder="1" applyAlignment="1">
      <alignment horizontal="center" vertical="center"/>
    </xf>
    <xf numFmtId="164" fontId="2" fillId="7" borderId="20" xfId="0" applyNumberFormat="1" applyFont="1" applyFill="1" applyBorder="1" applyAlignment="1">
      <alignment horizontal="right" vertical="center"/>
    </xf>
    <xf numFmtId="7" fontId="2" fillId="7" borderId="15" xfId="2" applyNumberFormat="1" applyFont="1" applyFill="1" applyBorder="1"/>
    <xf numFmtId="9" fontId="2" fillId="7" borderId="17" xfId="1" applyFont="1" applyFill="1" applyBorder="1" applyAlignment="1">
      <alignment horizontal="center" vertical="center"/>
    </xf>
    <xf numFmtId="164" fontId="2" fillId="7" borderId="26" xfId="0" applyNumberFormat="1" applyFont="1" applyFill="1" applyBorder="1" applyAlignment="1">
      <alignment horizontal="right" vertical="center"/>
    </xf>
    <xf numFmtId="7" fontId="2" fillId="7" borderId="16" xfId="2" applyNumberFormat="1" applyFont="1" applyFill="1" applyBorder="1"/>
    <xf numFmtId="7" fontId="2" fillId="8" borderId="17" xfId="2" applyNumberFormat="1" applyFont="1" applyFill="1" applyBorder="1"/>
    <xf numFmtId="7" fontId="2" fillId="7" borderId="1" xfId="2" applyNumberFormat="1" applyFont="1" applyFill="1" applyBorder="1" applyAlignment="1">
      <alignment vertical="center"/>
    </xf>
    <xf numFmtId="9" fontId="2" fillId="7" borderId="4" xfId="1" applyFont="1" applyFill="1" applyBorder="1" applyAlignment="1">
      <alignment horizontal="center" vertical="center"/>
    </xf>
    <xf numFmtId="164" fontId="2" fillId="7" borderId="27" xfId="0" applyNumberFormat="1" applyFont="1" applyFill="1" applyBorder="1" applyAlignment="1">
      <alignment horizontal="right" vertical="center"/>
    </xf>
    <xf numFmtId="7" fontId="2" fillId="7" borderId="4" xfId="2" applyNumberFormat="1" applyFont="1" applyFill="1" applyBorder="1"/>
    <xf numFmtId="7" fontId="2" fillId="7" borderId="15" xfId="2" applyNumberFormat="1" applyFont="1" applyFill="1" applyBorder="1" applyAlignment="1">
      <alignment vertical="center"/>
    </xf>
    <xf numFmtId="7" fontId="2" fillId="7" borderId="16" xfId="2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horizontal="center"/>
    </xf>
    <xf numFmtId="164" fontId="18" fillId="3" borderId="24" xfId="0" applyNumberFormat="1" applyFont="1" applyFill="1" applyBorder="1"/>
    <xf numFmtId="7" fontId="18" fillId="3" borderId="17" xfId="2" applyNumberFormat="1" applyFont="1" applyFill="1" applyBorder="1"/>
    <xf numFmtId="164" fontId="18" fillId="2" borderId="24" xfId="0" applyNumberFormat="1" applyFont="1" applyFill="1" applyBorder="1"/>
    <xf numFmtId="164" fontId="18" fillId="2" borderId="1" xfId="0" applyNumberFormat="1" applyFont="1" applyFill="1" applyBorder="1"/>
    <xf numFmtId="0" fontId="3" fillId="7" borderId="2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164" fontId="2" fillId="7" borderId="2" xfId="0" applyNumberFormat="1" applyFont="1" applyFill="1" applyBorder="1" applyAlignment="1">
      <alignment horizontal="right" vertical="center"/>
    </xf>
    <xf numFmtId="164" fontId="2" fillId="7" borderId="17" xfId="0" applyNumberFormat="1" applyFont="1" applyFill="1" applyBorder="1" applyAlignment="1">
      <alignment horizontal="right" vertical="center"/>
    </xf>
    <xf numFmtId="164" fontId="2" fillId="7" borderId="5" xfId="0" applyNumberFormat="1" applyFont="1" applyFill="1" applyBorder="1" applyAlignment="1">
      <alignment horizontal="center" vertical="center"/>
    </xf>
    <xf numFmtId="164" fontId="2" fillId="7" borderId="17" xfId="0" applyNumberFormat="1" applyFont="1" applyFill="1" applyBorder="1" applyAlignment="1">
      <alignment horizontal="center" vertical="center"/>
    </xf>
    <xf numFmtId="164" fontId="2" fillId="7" borderId="2" xfId="0" applyNumberFormat="1" applyFont="1" applyFill="1" applyBorder="1" applyAlignment="1">
      <alignment horizontal="center" vertical="center"/>
    </xf>
    <xf numFmtId="164" fontId="2" fillId="7" borderId="5" xfId="0" applyNumberFormat="1" applyFont="1" applyFill="1" applyBorder="1" applyAlignment="1">
      <alignment horizontal="right" vertical="center"/>
    </xf>
    <xf numFmtId="0" fontId="3" fillId="7" borderId="5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6" fillId="7" borderId="0" xfId="0" applyFont="1" applyFill="1" applyBorder="1" applyAlignment="1">
      <alignment horizontal="left" vertical="center" wrapText="1"/>
    </xf>
    <xf numFmtId="0" fontId="1" fillId="6" borderId="24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4" fillId="5" borderId="28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</cellXfs>
  <cellStyles count="3">
    <cellStyle name="Měna" xfId="2" builtinId="4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tabSelected="1" zoomScale="70" zoomScaleNormal="70" workbookViewId="0">
      <pane xSplit="1" ySplit="3" topLeftCell="B46" activePane="bottomRight" state="frozen"/>
      <selection pane="topRight" activeCell="B1" sqref="B1"/>
      <selection pane="bottomLeft" activeCell="A4" sqref="A4"/>
      <selection pane="bottomRight" activeCell="B63" sqref="B63"/>
    </sheetView>
  </sheetViews>
  <sheetFormatPr defaultRowHeight="15" x14ac:dyDescent="0.25"/>
  <cols>
    <col min="1" max="1" width="6.28515625" customWidth="1"/>
    <col min="2" max="2" width="65.7109375" customWidth="1"/>
    <col min="3" max="3" width="59.7109375" customWidth="1"/>
    <col min="4" max="10" width="18.7109375" customWidth="1"/>
    <col min="11" max="12" width="18" customWidth="1"/>
    <col min="13" max="13" width="18.7109375" customWidth="1"/>
    <col min="14" max="16" width="20.140625" customWidth="1"/>
  </cols>
  <sheetData>
    <row r="1" spans="1:16" ht="25.5" customHeight="1" x14ac:dyDescent="0.25">
      <c r="A1" s="199" t="s">
        <v>113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</row>
    <row r="2" spans="1:16" ht="24.75" customHeight="1" thickBot="1" x14ac:dyDescent="0.3">
      <c r="A2" s="201" t="s">
        <v>29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</row>
    <row r="3" spans="1:16" ht="66" customHeight="1" thickBot="1" x14ac:dyDescent="0.3">
      <c r="A3" s="6" t="s">
        <v>0</v>
      </c>
      <c r="B3" s="7" t="s">
        <v>1</v>
      </c>
      <c r="C3" s="8" t="s">
        <v>5</v>
      </c>
      <c r="D3" s="9" t="s">
        <v>41</v>
      </c>
      <c r="E3" s="10" t="s">
        <v>16</v>
      </c>
      <c r="F3" s="9" t="s">
        <v>44</v>
      </c>
      <c r="G3" s="9" t="s">
        <v>43</v>
      </c>
      <c r="H3" s="9" t="s">
        <v>45</v>
      </c>
      <c r="I3" s="11" t="s">
        <v>30</v>
      </c>
      <c r="J3" s="9" t="s">
        <v>2</v>
      </c>
      <c r="K3" s="12" t="s">
        <v>3</v>
      </c>
      <c r="L3" s="145" t="s">
        <v>102</v>
      </c>
      <c r="M3" s="10" t="s">
        <v>4</v>
      </c>
      <c r="N3" s="9" t="s">
        <v>103</v>
      </c>
      <c r="O3" s="9" t="s">
        <v>111</v>
      </c>
      <c r="P3" s="12" t="s">
        <v>106</v>
      </c>
    </row>
    <row r="4" spans="1:16" s="37" customFormat="1" ht="20.100000000000001" customHeight="1" thickBot="1" x14ac:dyDescent="0.35">
      <c r="A4" s="30">
        <v>1</v>
      </c>
      <c r="B4" s="31" t="s">
        <v>37</v>
      </c>
      <c r="C4" s="32" t="s">
        <v>58</v>
      </c>
      <c r="D4" s="33">
        <f>11760+15000</f>
        <v>26760</v>
      </c>
      <c r="E4" s="34">
        <f>15500+15000</f>
        <v>30500</v>
      </c>
      <c r="F4" s="33">
        <v>15500</v>
      </c>
      <c r="G4" s="33">
        <f>12100+18000</f>
        <v>30100</v>
      </c>
      <c r="H4" s="33">
        <v>12100</v>
      </c>
      <c r="I4" s="35">
        <v>19500</v>
      </c>
      <c r="J4" s="33">
        <v>40100</v>
      </c>
      <c r="K4" s="36">
        <f>(43+46+44+45+40+42+44)/7</f>
        <v>43.428571428571431</v>
      </c>
      <c r="L4" s="146">
        <f>IF(K4&lt;20,0,K4/50)</f>
        <v>0.86857142857142866</v>
      </c>
      <c r="M4" s="147">
        <f>I4*L4</f>
        <v>16937.142857142859</v>
      </c>
      <c r="N4" s="148">
        <f>ROUND(M4,-2)</f>
        <v>16900</v>
      </c>
      <c r="O4" s="148">
        <v>19500</v>
      </c>
      <c r="P4" s="126">
        <v>19500</v>
      </c>
    </row>
    <row r="5" spans="1:16" s="37" customFormat="1" ht="19.5" thickBot="1" x14ac:dyDescent="0.35">
      <c r="A5" s="91" t="s">
        <v>98</v>
      </c>
      <c r="B5" s="92" t="s">
        <v>77</v>
      </c>
      <c r="C5" s="93" t="s">
        <v>78</v>
      </c>
      <c r="D5" s="94">
        <v>38800</v>
      </c>
      <c r="E5" s="95">
        <f>10300+13200+10000+14850</f>
        <v>48350</v>
      </c>
      <c r="F5" s="94">
        <v>10300</v>
      </c>
      <c r="G5" s="94">
        <v>43200</v>
      </c>
      <c r="H5" s="94">
        <v>36000</v>
      </c>
      <c r="I5" s="96">
        <v>20000</v>
      </c>
      <c r="J5" s="94">
        <v>25000</v>
      </c>
      <c r="K5" s="92">
        <f>(29+35+50+45+40+35+35)/7</f>
        <v>38.428571428571431</v>
      </c>
      <c r="L5" s="149">
        <f t="shared" ref="L5:L34" si="0">IF(K5&lt;20,0,K5/50)</f>
        <v>0.76857142857142857</v>
      </c>
      <c r="M5" s="106">
        <f t="shared" ref="M5:M34" si="1">I5*L5</f>
        <v>15371.428571428571</v>
      </c>
      <c r="N5" s="150">
        <f t="shared" ref="N5:P34" si="2">ROUND(M5,-2)</f>
        <v>15400</v>
      </c>
      <c r="O5" s="150">
        <f t="shared" si="2"/>
        <v>15400</v>
      </c>
      <c r="P5" s="130">
        <v>20000</v>
      </c>
    </row>
    <row r="6" spans="1:16" s="37" customFormat="1" ht="20.100000000000001" customHeight="1" thickBot="1" x14ac:dyDescent="0.35">
      <c r="A6" s="38">
        <v>3</v>
      </c>
      <c r="B6" s="39" t="s">
        <v>42</v>
      </c>
      <c r="C6" s="40" t="s">
        <v>19</v>
      </c>
      <c r="D6" s="41">
        <v>35520</v>
      </c>
      <c r="E6" s="42">
        <v>9450</v>
      </c>
      <c r="F6" s="41">
        <v>9450</v>
      </c>
      <c r="G6" s="41">
        <v>28800</v>
      </c>
      <c r="H6" s="43">
        <v>28800</v>
      </c>
      <c r="I6" s="44">
        <v>41000</v>
      </c>
      <c r="J6" s="41">
        <v>45600</v>
      </c>
      <c r="K6" s="45">
        <f>(38+48+50+50+45+40+45)/7</f>
        <v>45.142857142857146</v>
      </c>
      <c r="L6" s="146">
        <f t="shared" si="0"/>
        <v>0.90285714285714291</v>
      </c>
      <c r="M6" s="147">
        <f t="shared" si="1"/>
        <v>37017.142857142862</v>
      </c>
      <c r="N6" s="148">
        <f t="shared" si="2"/>
        <v>37000</v>
      </c>
      <c r="O6" s="148">
        <v>41000</v>
      </c>
      <c r="P6" s="126">
        <v>41000</v>
      </c>
    </row>
    <row r="7" spans="1:16" s="37" customFormat="1" ht="20.100000000000001" customHeight="1" thickBot="1" x14ac:dyDescent="0.35">
      <c r="A7" s="91" t="s">
        <v>96</v>
      </c>
      <c r="B7" s="98" t="s">
        <v>71</v>
      </c>
      <c r="C7" s="93" t="s">
        <v>73</v>
      </c>
      <c r="D7" s="94">
        <v>15120</v>
      </c>
      <c r="E7" s="95">
        <v>26200</v>
      </c>
      <c r="F7" s="94">
        <v>26200</v>
      </c>
      <c r="G7" s="94">
        <v>25000</v>
      </c>
      <c r="H7" s="94">
        <v>25000</v>
      </c>
      <c r="I7" s="96">
        <v>41600</v>
      </c>
      <c r="J7" s="94">
        <v>46600</v>
      </c>
      <c r="K7" s="92">
        <f>(34+43+48+40+38+45+47)/7</f>
        <v>42.142857142857146</v>
      </c>
      <c r="L7" s="149">
        <f t="shared" si="0"/>
        <v>0.84285714285714297</v>
      </c>
      <c r="M7" s="106">
        <f t="shared" si="1"/>
        <v>35062.857142857145</v>
      </c>
      <c r="N7" s="150">
        <f t="shared" si="2"/>
        <v>35100</v>
      </c>
      <c r="O7" s="150">
        <v>41600</v>
      </c>
      <c r="P7" s="130">
        <v>41600</v>
      </c>
    </row>
    <row r="8" spans="1:16" s="37" customFormat="1" ht="40.5" customHeight="1" thickBot="1" x14ac:dyDescent="0.3">
      <c r="A8" s="38">
        <v>5</v>
      </c>
      <c r="B8" s="47" t="s">
        <v>23</v>
      </c>
      <c r="C8" s="48" t="s">
        <v>70</v>
      </c>
      <c r="D8" s="41">
        <v>56000</v>
      </c>
      <c r="E8" s="42">
        <v>61200</v>
      </c>
      <c r="F8" s="41">
        <v>61200</v>
      </c>
      <c r="G8" s="41">
        <v>57600</v>
      </c>
      <c r="H8" s="43">
        <v>57600</v>
      </c>
      <c r="I8" s="44">
        <v>90000</v>
      </c>
      <c r="J8" s="41">
        <v>110000</v>
      </c>
      <c r="K8" s="45">
        <f>(35+40+38+30+37+45+47)/7</f>
        <v>38.857142857142854</v>
      </c>
      <c r="L8" s="146">
        <f t="shared" si="0"/>
        <v>0.77714285714285714</v>
      </c>
      <c r="M8" s="147">
        <f t="shared" si="1"/>
        <v>69942.857142857145</v>
      </c>
      <c r="N8" s="151">
        <f t="shared" si="2"/>
        <v>69900</v>
      </c>
      <c r="O8" s="151">
        <f t="shared" si="2"/>
        <v>69900</v>
      </c>
      <c r="P8" s="142">
        <f>ROUND(O8,-2)+7500</f>
        <v>77400</v>
      </c>
    </row>
    <row r="9" spans="1:16" s="37" customFormat="1" ht="20.100000000000001" customHeight="1" x14ac:dyDescent="0.3">
      <c r="A9" s="172">
        <v>6</v>
      </c>
      <c r="B9" s="170" t="s">
        <v>6</v>
      </c>
      <c r="C9" s="49" t="s">
        <v>62</v>
      </c>
      <c r="D9" s="174">
        <v>4800</v>
      </c>
      <c r="E9" s="174">
        <f>14400+9200+9200</f>
        <v>32800</v>
      </c>
      <c r="F9" s="50">
        <v>14400</v>
      </c>
      <c r="G9" s="178">
        <f>16800+20000</f>
        <v>36800</v>
      </c>
      <c r="H9" s="50">
        <v>8000</v>
      </c>
      <c r="I9" s="51">
        <v>9900</v>
      </c>
      <c r="J9" s="50">
        <v>11000</v>
      </c>
      <c r="K9" s="52">
        <f>(18+38+36+40+20+30+37)/7</f>
        <v>31.285714285714285</v>
      </c>
      <c r="L9" s="152">
        <f t="shared" si="0"/>
        <v>0.62571428571428567</v>
      </c>
      <c r="M9" s="153">
        <f t="shared" si="1"/>
        <v>6194.5714285714284</v>
      </c>
      <c r="N9" s="154">
        <f t="shared" si="2"/>
        <v>6200</v>
      </c>
      <c r="O9" s="154">
        <v>9900</v>
      </c>
      <c r="P9" s="128">
        <v>9900</v>
      </c>
    </row>
    <row r="10" spans="1:16" s="37" customFormat="1" ht="20.100000000000001" customHeight="1" thickBot="1" x14ac:dyDescent="0.35">
      <c r="A10" s="173"/>
      <c r="B10" s="171"/>
      <c r="C10" s="53" t="s">
        <v>63</v>
      </c>
      <c r="D10" s="175"/>
      <c r="E10" s="175"/>
      <c r="F10" s="54">
        <v>9200</v>
      </c>
      <c r="G10" s="177"/>
      <c r="H10" s="43">
        <v>8800</v>
      </c>
      <c r="I10" s="55">
        <v>9900</v>
      </c>
      <c r="J10" s="54">
        <v>11000</v>
      </c>
      <c r="K10" s="56">
        <f>(18+38+44+40+35+35+35)/7</f>
        <v>35</v>
      </c>
      <c r="L10" s="155">
        <f t="shared" si="0"/>
        <v>0.7</v>
      </c>
      <c r="M10" s="156">
        <f t="shared" si="1"/>
        <v>6930</v>
      </c>
      <c r="N10" s="157">
        <f t="shared" si="2"/>
        <v>6900</v>
      </c>
      <c r="O10" s="157">
        <v>9900</v>
      </c>
      <c r="P10" s="129">
        <v>9900</v>
      </c>
    </row>
    <row r="11" spans="1:16" s="37" customFormat="1" ht="20.100000000000001" customHeight="1" thickBot="1" x14ac:dyDescent="0.35">
      <c r="A11" s="99" t="s">
        <v>92</v>
      </c>
      <c r="B11" s="100" t="s">
        <v>7</v>
      </c>
      <c r="C11" s="101" t="s">
        <v>60</v>
      </c>
      <c r="D11" s="102">
        <v>109056</v>
      </c>
      <c r="E11" s="103">
        <v>150000</v>
      </c>
      <c r="F11" s="102">
        <v>150000</v>
      </c>
      <c r="G11" s="102">
        <v>150000</v>
      </c>
      <c r="H11" s="94">
        <v>150000</v>
      </c>
      <c r="I11" s="104">
        <v>150000</v>
      </c>
      <c r="J11" s="102">
        <v>260000</v>
      </c>
      <c r="K11" s="105">
        <f>(50+50+50+45+50+50+50)/7</f>
        <v>49.285714285714285</v>
      </c>
      <c r="L11" s="149">
        <f t="shared" si="0"/>
        <v>0.98571428571428565</v>
      </c>
      <c r="M11" s="106">
        <f t="shared" si="1"/>
        <v>147857.14285714284</v>
      </c>
      <c r="N11" s="158">
        <f t="shared" si="2"/>
        <v>147900</v>
      </c>
      <c r="O11" s="158">
        <v>150000</v>
      </c>
      <c r="P11" s="132">
        <v>150000</v>
      </c>
    </row>
    <row r="12" spans="1:16" s="37" customFormat="1" ht="39" customHeight="1" thickBot="1" x14ac:dyDescent="0.3">
      <c r="A12" s="30">
        <v>8</v>
      </c>
      <c r="B12" s="36" t="s">
        <v>10</v>
      </c>
      <c r="C12" s="58" t="s">
        <v>59</v>
      </c>
      <c r="D12" s="33" t="s">
        <v>13</v>
      </c>
      <c r="E12" s="33">
        <v>0</v>
      </c>
      <c r="F12" s="33">
        <v>0</v>
      </c>
      <c r="G12" s="33">
        <v>0</v>
      </c>
      <c r="H12" s="33">
        <v>0</v>
      </c>
      <c r="I12" s="59">
        <v>40000</v>
      </c>
      <c r="J12" s="33">
        <v>150000</v>
      </c>
      <c r="K12" s="36">
        <v>0</v>
      </c>
      <c r="L12" s="146">
        <f t="shared" si="0"/>
        <v>0</v>
      </c>
      <c r="M12" s="147">
        <f t="shared" si="1"/>
        <v>0</v>
      </c>
      <c r="N12" s="159">
        <f t="shared" si="2"/>
        <v>0</v>
      </c>
      <c r="O12" s="159">
        <f t="shared" si="2"/>
        <v>0</v>
      </c>
      <c r="P12" s="141">
        <f t="shared" si="2"/>
        <v>0</v>
      </c>
    </row>
    <row r="13" spans="1:16" s="37" customFormat="1" ht="20.100000000000001" customHeight="1" thickBot="1" x14ac:dyDescent="0.35">
      <c r="A13" s="30">
        <v>9</v>
      </c>
      <c r="B13" s="46" t="s">
        <v>8</v>
      </c>
      <c r="C13" s="32" t="s">
        <v>9</v>
      </c>
      <c r="D13" s="33" t="s">
        <v>18</v>
      </c>
      <c r="E13" s="34">
        <v>93000</v>
      </c>
      <c r="F13" s="33">
        <v>93000</v>
      </c>
      <c r="G13" s="33">
        <v>78000</v>
      </c>
      <c r="H13" s="33">
        <v>78000</v>
      </c>
      <c r="I13" s="35">
        <v>110000</v>
      </c>
      <c r="J13" s="33">
        <v>430000</v>
      </c>
      <c r="K13" s="36">
        <f>(43+38+40+35+44+35+39)/7</f>
        <v>39.142857142857146</v>
      </c>
      <c r="L13" s="146">
        <f t="shared" si="0"/>
        <v>0.78285714285714292</v>
      </c>
      <c r="M13" s="147">
        <f t="shared" si="1"/>
        <v>86114.285714285725</v>
      </c>
      <c r="N13" s="148">
        <f t="shared" si="2"/>
        <v>86100</v>
      </c>
      <c r="O13" s="148">
        <f t="shared" si="2"/>
        <v>86100</v>
      </c>
      <c r="P13" s="126">
        <f>ROUND(O13,-2)+7500</f>
        <v>93600</v>
      </c>
    </row>
    <row r="14" spans="1:16" s="37" customFormat="1" ht="20.100000000000001" customHeight="1" thickBot="1" x14ac:dyDescent="0.35">
      <c r="A14" s="30">
        <v>10</v>
      </c>
      <c r="B14" s="36" t="s">
        <v>11</v>
      </c>
      <c r="C14" s="60" t="s">
        <v>66</v>
      </c>
      <c r="D14" s="61">
        <v>25840</v>
      </c>
      <c r="E14" s="61">
        <f>37400+11600</f>
        <v>49000</v>
      </c>
      <c r="F14" s="33">
        <v>37400</v>
      </c>
      <c r="G14" s="61">
        <f>36800+9700</f>
        <v>46500</v>
      </c>
      <c r="H14" s="33">
        <v>36800</v>
      </c>
      <c r="I14" s="35">
        <v>48500</v>
      </c>
      <c r="J14" s="33">
        <v>98500</v>
      </c>
      <c r="K14" s="52">
        <f>(44+50+45+40+40+41)/6</f>
        <v>43.333333333333336</v>
      </c>
      <c r="L14" s="146">
        <f t="shared" si="0"/>
        <v>0.8666666666666667</v>
      </c>
      <c r="M14" s="147">
        <f t="shared" si="1"/>
        <v>42033.333333333336</v>
      </c>
      <c r="N14" s="148">
        <f t="shared" si="2"/>
        <v>42000</v>
      </c>
      <c r="O14" s="148">
        <v>48500</v>
      </c>
      <c r="P14" s="126">
        <v>48500</v>
      </c>
    </row>
    <row r="15" spans="1:16" s="37" customFormat="1" ht="20.100000000000001" customHeight="1" x14ac:dyDescent="0.3">
      <c r="A15" s="182">
        <v>11</v>
      </c>
      <c r="B15" s="198" t="s">
        <v>84</v>
      </c>
      <c r="C15" s="62" t="s">
        <v>82</v>
      </c>
      <c r="D15" s="179">
        <f>12960+63200</f>
        <v>76160</v>
      </c>
      <c r="E15" s="179">
        <f>120000+22800+6500+10000</f>
        <v>159300</v>
      </c>
      <c r="F15" s="63">
        <v>120000</v>
      </c>
      <c r="G15" s="176">
        <v>144000</v>
      </c>
      <c r="H15" s="63">
        <v>123000</v>
      </c>
      <c r="I15" s="64">
        <v>150000</v>
      </c>
      <c r="J15" s="63">
        <v>225000</v>
      </c>
      <c r="K15" s="52">
        <f>(50+45+50+50+45+45+45)/7</f>
        <v>47.142857142857146</v>
      </c>
      <c r="L15" s="152">
        <f t="shared" si="0"/>
        <v>0.94285714285714295</v>
      </c>
      <c r="M15" s="153">
        <f t="shared" si="1"/>
        <v>141428.57142857145</v>
      </c>
      <c r="N15" s="154">
        <f t="shared" si="2"/>
        <v>141400</v>
      </c>
      <c r="O15" s="154">
        <v>150000</v>
      </c>
      <c r="P15" s="128">
        <v>150000</v>
      </c>
    </row>
    <row r="16" spans="1:16" s="37" customFormat="1" ht="20.100000000000001" customHeight="1" thickBot="1" x14ac:dyDescent="0.35">
      <c r="A16" s="173"/>
      <c r="B16" s="171"/>
      <c r="C16" s="137" t="s">
        <v>83</v>
      </c>
      <c r="D16" s="179"/>
      <c r="E16" s="179"/>
      <c r="F16" s="138">
        <v>22800</v>
      </c>
      <c r="G16" s="176"/>
      <c r="H16" s="134">
        <v>21000</v>
      </c>
      <c r="I16" s="139">
        <v>30000</v>
      </c>
      <c r="J16" s="138">
        <v>42000</v>
      </c>
      <c r="K16" s="140">
        <f>(42+45+50+50+40+42+40)/7</f>
        <v>44.142857142857146</v>
      </c>
      <c r="L16" s="155">
        <f t="shared" si="0"/>
        <v>0.8828571428571429</v>
      </c>
      <c r="M16" s="156">
        <f t="shared" si="1"/>
        <v>26485.714285714286</v>
      </c>
      <c r="N16" s="157">
        <f t="shared" si="2"/>
        <v>26500</v>
      </c>
      <c r="O16" s="157">
        <v>30000</v>
      </c>
      <c r="P16" s="129">
        <v>30000</v>
      </c>
    </row>
    <row r="17" spans="1:16" s="37" customFormat="1" ht="20.100000000000001" customHeight="1" thickBot="1" x14ac:dyDescent="0.35">
      <c r="A17" s="91" t="s">
        <v>90</v>
      </c>
      <c r="B17" s="92" t="s">
        <v>33</v>
      </c>
      <c r="C17" s="91" t="s">
        <v>79</v>
      </c>
      <c r="D17" s="106">
        <v>50200</v>
      </c>
      <c r="E17" s="107">
        <f>SUM(F17:F17)+20000</f>
        <v>55900</v>
      </c>
      <c r="F17" s="107">
        <v>35900</v>
      </c>
      <c r="G17" s="107">
        <f>SUM(H17:H17)+20000</f>
        <v>63800</v>
      </c>
      <c r="H17" s="108">
        <v>43800</v>
      </c>
      <c r="I17" s="97">
        <v>85060</v>
      </c>
      <c r="J17" s="95">
        <v>162900</v>
      </c>
      <c r="K17" s="92">
        <f>(48+41+48+45+44+42+45)/7</f>
        <v>44.714285714285715</v>
      </c>
      <c r="L17" s="149">
        <f t="shared" si="0"/>
        <v>0.89428571428571435</v>
      </c>
      <c r="M17" s="106">
        <f t="shared" si="1"/>
        <v>76067.942857142858</v>
      </c>
      <c r="N17" s="150">
        <f t="shared" si="2"/>
        <v>76100</v>
      </c>
      <c r="O17" s="150">
        <v>85060</v>
      </c>
      <c r="P17" s="130">
        <v>85060</v>
      </c>
    </row>
    <row r="18" spans="1:16" s="37" customFormat="1" ht="20.100000000000001" customHeight="1" x14ac:dyDescent="0.3">
      <c r="A18" s="182">
        <v>13</v>
      </c>
      <c r="B18" s="180" t="s">
        <v>17</v>
      </c>
      <c r="C18" s="62" t="s">
        <v>80</v>
      </c>
      <c r="D18" s="179">
        <f>24000+16000</f>
        <v>40000</v>
      </c>
      <c r="E18" s="179">
        <f>26700+14400+16000+25700</f>
        <v>82800</v>
      </c>
      <c r="F18" s="63">
        <v>25700</v>
      </c>
      <c r="G18" s="176">
        <v>62600</v>
      </c>
      <c r="H18" s="63">
        <v>34800</v>
      </c>
      <c r="I18" s="64">
        <v>45173</v>
      </c>
      <c r="J18" s="63">
        <v>50193</v>
      </c>
      <c r="K18" s="65">
        <f>(45+44+48+45+35+42+45)/7</f>
        <v>43.428571428571431</v>
      </c>
      <c r="L18" s="152">
        <f t="shared" si="0"/>
        <v>0.86857142857142866</v>
      </c>
      <c r="M18" s="153">
        <f t="shared" si="1"/>
        <v>39235.977142857148</v>
      </c>
      <c r="N18" s="154">
        <f t="shared" si="2"/>
        <v>39200</v>
      </c>
      <c r="O18" s="154">
        <v>45100</v>
      </c>
      <c r="P18" s="128">
        <v>45100</v>
      </c>
    </row>
    <row r="19" spans="1:16" s="37" customFormat="1" ht="20.100000000000001" customHeight="1" x14ac:dyDescent="0.3">
      <c r="A19" s="182"/>
      <c r="B19" s="180"/>
      <c r="C19" s="66" t="s">
        <v>81</v>
      </c>
      <c r="D19" s="179"/>
      <c r="E19" s="179"/>
      <c r="F19" s="67">
        <v>16000</v>
      </c>
      <c r="G19" s="176"/>
      <c r="H19" s="67">
        <v>27800</v>
      </c>
      <c r="I19" s="68">
        <v>29393</v>
      </c>
      <c r="J19" s="67">
        <v>32659</v>
      </c>
      <c r="K19" s="69">
        <f>(45+44+48+45+40+45+45)/7</f>
        <v>44.571428571428569</v>
      </c>
      <c r="L19" s="160">
        <f t="shared" si="0"/>
        <v>0.89142857142857135</v>
      </c>
      <c r="M19" s="161">
        <f t="shared" si="1"/>
        <v>26201.759999999998</v>
      </c>
      <c r="N19" s="162">
        <f t="shared" si="2"/>
        <v>26200</v>
      </c>
      <c r="O19" s="162">
        <v>29300</v>
      </c>
      <c r="P19" s="127">
        <v>29300</v>
      </c>
    </row>
    <row r="20" spans="1:16" s="37" customFormat="1" ht="20.100000000000001" customHeight="1" thickBot="1" x14ac:dyDescent="0.35">
      <c r="A20" s="173"/>
      <c r="B20" s="181"/>
      <c r="C20" s="70" t="s">
        <v>12</v>
      </c>
      <c r="D20" s="175"/>
      <c r="E20" s="175"/>
      <c r="F20" s="54" t="s">
        <v>13</v>
      </c>
      <c r="G20" s="177"/>
      <c r="H20" s="43">
        <v>0</v>
      </c>
      <c r="I20" s="55">
        <v>44659</v>
      </c>
      <c r="J20" s="54">
        <v>81819</v>
      </c>
      <c r="K20" s="56">
        <f>(10+20+34+20+5+10+19)/7</f>
        <v>16.857142857142858</v>
      </c>
      <c r="L20" s="155">
        <f t="shared" si="0"/>
        <v>0</v>
      </c>
      <c r="M20" s="156">
        <f t="shared" si="1"/>
        <v>0</v>
      </c>
      <c r="N20" s="157">
        <f t="shared" si="2"/>
        <v>0</v>
      </c>
      <c r="O20" s="157">
        <f t="shared" si="2"/>
        <v>0</v>
      </c>
      <c r="P20" s="129">
        <f t="shared" si="2"/>
        <v>0</v>
      </c>
    </row>
    <row r="21" spans="1:16" s="37" customFormat="1" ht="19.5" thickBot="1" x14ac:dyDescent="0.35">
      <c r="A21" s="109" t="s">
        <v>94</v>
      </c>
      <c r="B21" s="110" t="s">
        <v>67</v>
      </c>
      <c r="C21" s="101" t="s">
        <v>68</v>
      </c>
      <c r="D21" s="102">
        <v>25000</v>
      </c>
      <c r="E21" s="103">
        <v>33600</v>
      </c>
      <c r="F21" s="102">
        <v>33600</v>
      </c>
      <c r="G21" s="102">
        <v>33600</v>
      </c>
      <c r="H21" s="94">
        <v>33600</v>
      </c>
      <c r="I21" s="104">
        <v>48000</v>
      </c>
      <c r="J21" s="102">
        <v>120600</v>
      </c>
      <c r="K21" s="105">
        <f>(46+40+50+50+47+45+25)/7</f>
        <v>43.285714285714285</v>
      </c>
      <c r="L21" s="149">
        <f t="shared" si="0"/>
        <v>0.86571428571428566</v>
      </c>
      <c r="M21" s="106">
        <f t="shared" si="1"/>
        <v>41554.28571428571</v>
      </c>
      <c r="N21" s="150">
        <f t="shared" si="2"/>
        <v>41600</v>
      </c>
      <c r="O21" s="150">
        <v>48000</v>
      </c>
      <c r="P21" s="130">
        <v>48000</v>
      </c>
    </row>
    <row r="22" spans="1:16" s="37" customFormat="1" ht="20.100000000000001" customHeight="1" thickBot="1" x14ac:dyDescent="0.35">
      <c r="A22" s="30">
        <v>15</v>
      </c>
      <c r="B22" s="46" t="s">
        <v>20</v>
      </c>
      <c r="C22" s="32" t="s">
        <v>74</v>
      </c>
      <c r="D22" s="33" t="s">
        <v>27</v>
      </c>
      <c r="E22" s="34">
        <v>40000</v>
      </c>
      <c r="F22" s="33">
        <v>40000</v>
      </c>
      <c r="G22" s="33">
        <v>30000</v>
      </c>
      <c r="H22" s="33">
        <v>30000</v>
      </c>
      <c r="I22" s="35">
        <v>30000</v>
      </c>
      <c r="J22" s="33">
        <v>103000</v>
      </c>
      <c r="K22" s="36">
        <f>(10+40+44+35+25+20+25)/7</f>
        <v>28.428571428571427</v>
      </c>
      <c r="L22" s="146">
        <f t="shared" si="0"/>
        <v>0.56857142857142851</v>
      </c>
      <c r="M22" s="147">
        <f t="shared" si="1"/>
        <v>17057.142857142855</v>
      </c>
      <c r="N22" s="148">
        <f t="shared" si="2"/>
        <v>17100</v>
      </c>
      <c r="O22" s="148">
        <f t="shared" si="2"/>
        <v>17100</v>
      </c>
      <c r="P22" s="126">
        <f t="shared" si="2"/>
        <v>17100</v>
      </c>
    </row>
    <row r="23" spans="1:16" s="37" customFormat="1" ht="20.100000000000001" customHeight="1" thickBot="1" x14ac:dyDescent="0.35">
      <c r="A23" s="30">
        <v>16</v>
      </c>
      <c r="B23" s="46" t="s">
        <v>35</v>
      </c>
      <c r="C23" s="32" t="s">
        <v>52</v>
      </c>
      <c r="D23" s="33">
        <v>59041</v>
      </c>
      <c r="E23" s="34">
        <v>67700</v>
      </c>
      <c r="F23" s="33">
        <v>67700</v>
      </c>
      <c r="G23" s="33">
        <v>58100</v>
      </c>
      <c r="H23" s="33">
        <v>58100</v>
      </c>
      <c r="I23" s="35">
        <v>83355</v>
      </c>
      <c r="J23" s="33">
        <v>93619</v>
      </c>
      <c r="K23" s="36">
        <f>(23+33+36+25+25+25+39)/7</f>
        <v>29.428571428571427</v>
      </c>
      <c r="L23" s="146">
        <f t="shared" si="0"/>
        <v>0.58857142857142852</v>
      </c>
      <c r="M23" s="147">
        <f t="shared" si="1"/>
        <v>49060.371428571423</v>
      </c>
      <c r="N23" s="148">
        <f t="shared" si="2"/>
        <v>49100</v>
      </c>
      <c r="O23" s="148">
        <f t="shared" si="2"/>
        <v>49100</v>
      </c>
      <c r="P23" s="126">
        <f>ROUND(O23,-2)+4140</f>
        <v>53240</v>
      </c>
    </row>
    <row r="24" spans="1:16" s="37" customFormat="1" ht="20.100000000000001" customHeight="1" thickBot="1" x14ac:dyDescent="0.35">
      <c r="A24" s="91" t="s">
        <v>89</v>
      </c>
      <c r="B24" s="98" t="s">
        <v>34</v>
      </c>
      <c r="C24" s="93" t="s">
        <v>48</v>
      </c>
      <c r="D24" s="94">
        <v>22320</v>
      </c>
      <c r="E24" s="95">
        <v>19100</v>
      </c>
      <c r="F24" s="94">
        <v>19100</v>
      </c>
      <c r="G24" s="94">
        <v>19100</v>
      </c>
      <c r="H24" s="94">
        <v>19100</v>
      </c>
      <c r="I24" s="96">
        <v>28000</v>
      </c>
      <c r="J24" s="94">
        <v>48000</v>
      </c>
      <c r="K24" s="92">
        <f>(42+40+44+45+30+25+44)/7</f>
        <v>38.571428571428569</v>
      </c>
      <c r="L24" s="149">
        <f t="shared" si="0"/>
        <v>0.77142857142857135</v>
      </c>
      <c r="M24" s="106">
        <f t="shared" si="1"/>
        <v>21599.999999999996</v>
      </c>
      <c r="N24" s="150">
        <f t="shared" si="2"/>
        <v>21600</v>
      </c>
      <c r="O24" s="150">
        <f t="shared" si="2"/>
        <v>21600</v>
      </c>
      <c r="P24" s="130">
        <v>28000</v>
      </c>
    </row>
    <row r="25" spans="1:16" s="37" customFormat="1" ht="20.100000000000001" customHeight="1" thickBot="1" x14ac:dyDescent="0.35">
      <c r="A25" s="91" t="s">
        <v>100</v>
      </c>
      <c r="B25" s="98" t="s">
        <v>53</v>
      </c>
      <c r="C25" s="93" t="s">
        <v>32</v>
      </c>
      <c r="D25" s="94">
        <v>78800</v>
      </c>
      <c r="E25" s="95">
        <v>57700</v>
      </c>
      <c r="F25" s="94">
        <v>57700</v>
      </c>
      <c r="G25" s="94">
        <v>57700</v>
      </c>
      <c r="H25" s="94">
        <v>57700</v>
      </c>
      <c r="I25" s="96">
        <v>76000</v>
      </c>
      <c r="J25" s="94">
        <v>160250</v>
      </c>
      <c r="K25" s="92">
        <f>(44+44+44+30+32+38)/6</f>
        <v>38.666666666666664</v>
      </c>
      <c r="L25" s="149">
        <f t="shared" si="0"/>
        <v>0.77333333333333332</v>
      </c>
      <c r="M25" s="106">
        <f t="shared" si="1"/>
        <v>58773.333333333328</v>
      </c>
      <c r="N25" s="150">
        <f t="shared" si="2"/>
        <v>58800</v>
      </c>
      <c r="O25" s="150">
        <f t="shared" si="2"/>
        <v>58800</v>
      </c>
      <c r="P25" s="130">
        <f>ROUND(O25,-2)+7500</f>
        <v>66300</v>
      </c>
    </row>
    <row r="26" spans="1:16" s="37" customFormat="1" ht="20.100000000000001" customHeight="1" thickBot="1" x14ac:dyDescent="0.35">
      <c r="A26" s="38">
        <v>19</v>
      </c>
      <c r="B26" s="47" t="s">
        <v>21</v>
      </c>
      <c r="C26" s="40" t="s">
        <v>24</v>
      </c>
      <c r="D26" s="41">
        <v>40000</v>
      </c>
      <c r="E26" s="42">
        <v>49000</v>
      </c>
      <c r="F26" s="41">
        <v>49000</v>
      </c>
      <c r="G26" s="41">
        <v>49000</v>
      </c>
      <c r="H26" s="43">
        <v>49000</v>
      </c>
      <c r="I26" s="44">
        <v>49000</v>
      </c>
      <c r="J26" s="41">
        <v>205000</v>
      </c>
      <c r="K26" s="45">
        <f>(50+50+50+50+50+50+50)/7</f>
        <v>50</v>
      </c>
      <c r="L26" s="146">
        <f t="shared" si="0"/>
        <v>1</v>
      </c>
      <c r="M26" s="147">
        <f t="shared" si="1"/>
        <v>49000</v>
      </c>
      <c r="N26" s="148">
        <f t="shared" si="2"/>
        <v>49000</v>
      </c>
      <c r="O26" s="148">
        <f t="shared" si="2"/>
        <v>49000</v>
      </c>
      <c r="P26" s="126">
        <f t="shared" si="2"/>
        <v>49000</v>
      </c>
    </row>
    <row r="27" spans="1:16" s="37" customFormat="1" ht="20.100000000000001" customHeight="1" thickBot="1" x14ac:dyDescent="0.35">
      <c r="A27" s="172">
        <v>20</v>
      </c>
      <c r="B27" s="170" t="s">
        <v>22</v>
      </c>
      <c r="C27" s="49" t="s">
        <v>56</v>
      </c>
      <c r="D27" s="174">
        <v>8000</v>
      </c>
      <c r="E27" s="174">
        <f>4100+4100</f>
        <v>8200</v>
      </c>
      <c r="F27" s="50">
        <v>4100</v>
      </c>
      <c r="G27" s="178">
        <v>12000</v>
      </c>
      <c r="H27" s="50">
        <v>6000</v>
      </c>
      <c r="I27" s="51">
        <v>7000</v>
      </c>
      <c r="J27" s="50">
        <v>9500</v>
      </c>
      <c r="K27" s="52">
        <f>(40+50+46+50+35+45+45)/7</f>
        <v>44.428571428571431</v>
      </c>
      <c r="L27" s="152">
        <f t="shared" si="0"/>
        <v>0.88857142857142857</v>
      </c>
      <c r="M27" s="153">
        <f t="shared" si="1"/>
        <v>6220</v>
      </c>
      <c r="N27" s="154">
        <f t="shared" si="2"/>
        <v>6200</v>
      </c>
      <c r="O27" s="154">
        <v>7000</v>
      </c>
      <c r="P27" s="128">
        <v>7000</v>
      </c>
    </row>
    <row r="28" spans="1:16" s="37" customFormat="1" ht="20.100000000000001" customHeight="1" thickBot="1" x14ac:dyDescent="0.35">
      <c r="A28" s="173"/>
      <c r="B28" s="171"/>
      <c r="C28" s="70" t="s">
        <v>57</v>
      </c>
      <c r="D28" s="175"/>
      <c r="E28" s="175"/>
      <c r="F28" s="54">
        <v>4100</v>
      </c>
      <c r="G28" s="177"/>
      <c r="H28" s="43">
        <v>6000</v>
      </c>
      <c r="I28" s="55">
        <v>7000</v>
      </c>
      <c r="J28" s="54">
        <v>9500</v>
      </c>
      <c r="K28" s="52">
        <f>(40+50+46+50+35+45+45)/7</f>
        <v>44.428571428571431</v>
      </c>
      <c r="L28" s="155">
        <f t="shared" si="0"/>
        <v>0.88857142857142857</v>
      </c>
      <c r="M28" s="156">
        <f t="shared" si="1"/>
        <v>6220</v>
      </c>
      <c r="N28" s="157">
        <f t="shared" si="2"/>
        <v>6200</v>
      </c>
      <c r="O28" s="157">
        <v>7000</v>
      </c>
      <c r="P28" s="129">
        <v>7000</v>
      </c>
    </row>
    <row r="29" spans="1:16" s="37" customFormat="1" ht="20.100000000000001" customHeight="1" thickBot="1" x14ac:dyDescent="0.35">
      <c r="A29" s="71">
        <v>21</v>
      </c>
      <c r="B29" s="72" t="s">
        <v>64</v>
      </c>
      <c r="C29" s="73" t="s">
        <v>65</v>
      </c>
      <c r="D29" s="43" t="s">
        <v>13</v>
      </c>
      <c r="E29" s="74" t="s">
        <v>13</v>
      </c>
      <c r="F29" s="43" t="s">
        <v>13</v>
      </c>
      <c r="G29" s="43" t="s">
        <v>13</v>
      </c>
      <c r="H29" s="33" t="s">
        <v>13</v>
      </c>
      <c r="I29" s="75">
        <v>60000</v>
      </c>
      <c r="J29" s="43">
        <v>127000</v>
      </c>
      <c r="K29" s="72">
        <f>(30+40+50+50+35+35+39)/7</f>
        <v>39.857142857142854</v>
      </c>
      <c r="L29" s="146">
        <f t="shared" si="0"/>
        <v>0.79714285714285704</v>
      </c>
      <c r="M29" s="147">
        <f t="shared" si="1"/>
        <v>47828.57142857142</v>
      </c>
      <c r="N29" s="148">
        <f t="shared" si="2"/>
        <v>47800</v>
      </c>
      <c r="O29" s="148">
        <f t="shared" si="2"/>
        <v>47800</v>
      </c>
      <c r="P29" s="126">
        <f>ROUND(O29,-2)+7500</f>
        <v>55300</v>
      </c>
    </row>
    <row r="30" spans="1:16" s="37" customFormat="1" ht="20.100000000000001" customHeight="1" thickBot="1" x14ac:dyDescent="0.35">
      <c r="A30" s="38">
        <v>22</v>
      </c>
      <c r="B30" s="45" t="s">
        <v>75</v>
      </c>
      <c r="C30" s="73" t="s">
        <v>76</v>
      </c>
      <c r="D30" s="41" t="s">
        <v>13</v>
      </c>
      <c r="E30" s="42">
        <v>15100</v>
      </c>
      <c r="F30" s="43">
        <v>15100</v>
      </c>
      <c r="G30" s="41" t="s">
        <v>13</v>
      </c>
      <c r="H30" s="76" t="s">
        <v>13</v>
      </c>
      <c r="I30" s="75">
        <v>20000</v>
      </c>
      <c r="J30" s="43">
        <v>25000</v>
      </c>
      <c r="K30" s="72">
        <f>(45+46+48+40+35+35+44)/7</f>
        <v>41.857142857142854</v>
      </c>
      <c r="L30" s="146">
        <f t="shared" si="0"/>
        <v>0.83714285714285708</v>
      </c>
      <c r="M30" s="147">
        <f t="shared" si="1"/>
        <v>16742.857142857141</v>
      </c>
      <c r="N30" s="148">
        <f t="shared" si="2"/>
        <v>16700</v>
      </c>
      <c r="O30" s="148">
        <v>20000</v>
      </c>
      <c r="P30" s="126">
        <v>20000</v>
      </c>
    </row>
    <row r="31" spans="1:16" s="37" customFormat="1" ht="20.100000000000001" customHeight="1" thickBot="1" x14ac:dyDescent="0.35">
      <c r="A31" s="57">
        <v>23</v>
      </c>
      <c r="B31" s="77" t="s">
        <v>25</v>
      </c>
      <c r="C31" s="30" t="s">
        <v>50</v>
      </c>
      <c r="D31" s="78">
        <v>35680</v>
      </c>
      <c r="E31" s="78">
        <f>37200+18200</f>
        <v>55400</v>
      </c>
      <c r="F31" s="33">
        <f>37200+18200</f>
        <v>55400</v>
      </c>
      <c r="G31" s="78">
        <v>50800</v>
      </c>
      <c r="H31" s="50">
        <f>34400+16400</f>
        <v>50800</v>
      </c>
      <c r="I31" s="79">
        <v>71100</v>
      </c>
      <c r="J31" s="33">
        <v>79000</v>
      </c>
      <c r="K31" s="36">
        <f>(44+38+38+25+35+35)/6</f>
        <v>35.833333333333336</v>
      </c>
      <c r="L31" s="146">
        <f t="shared" si="0"/>
        <v>0.71666666666666667</v>
      </c>
      <c r="M31" s="147">
        <f t="shared" si="1"/>
        <v>50955</v>
      </c>
      <c r="N31" s="148">
        <f t="shared" si="2"/>
        <v>51000</v>
      </c>
      <c r="O31" s="148">
        <f t="shared" si="2"/>
        <v>51000</v>
      </c>
      <c r="P31" s="126">
        <f t="shared" si="2"/>
        <v>51000</v>
      </c>
    </row>
    <row r="32" spans="1:16" s="37" customFormat="1" ht="37.5" customHeight="1" x14ac:dyDescent="0.25">
      <c r="A32" s="172">
        <v>24</v>
      </c>
      <c r="B32" s="170" t="s">
        <v>36</v>
      </c>
      <c r="C32" s="80" t="s">
        <v>54</v>
      </c>
      <c r="D32" s="174">
        <f>39200+39200</f>
        <v>78400</v>
      </c>
      <c r="E32" s="174">
        <f>57400+80000</f>
        <v>137400</v>
      </c>
      <c r="F32" s="76" t="s">
        <v>13</v>
      </c>
      <c r="G32" s="178">
        <f>54200*2</f>
        <v>108400</v>
      </c>
      <c r="H32" s="50" t="s">
        <v>13</v>
      </c>
      <c r="I32" s="81">
        <v>64000</v>
      </c>
      <c r="J32" s="76">
        <v>114000</v>
      </c>
      <c r="K32" s="77">
        <f>(40+43+50+25+20+48)/6</f>
        <v>37.666666666666664</v>
      </c>
      <c r="L32" s="152">
        <f t="shared" si="0"/>
        <v>0.7533333333333333</v>
      </c>
      <c r="M32" s="153">
        <f t="shared" si="1"/>
        <v>48213.333333333328</v>
      </c>
      <c r="N32" s="163">
        <f t="shared" si="2"/>
        <v>48200</v>
      </c>
      <c r="O32" s="163">
        <f t="shared" si="2"/>
        <v>48200</v>
      </c>
      <c r="P32" s="143">
        <f t="shared" si="2"/>
        <v>48200</v>
      </c>
    </row>
    <row r="33" spans="1:16" s="37" customFormat="1" ht="38.25" customHeight="1" thickBot="1" x14ac:dyDescent="0.3">
      <c r="A33" s="173"/>
      <c r="B33" s="171"/>
      <c r="C33" s="82" t="s">
        <v>55</v>
      </c>
      <c r="D33" s="175"/>
      <c r="E33" s="175"/>
      <c r="F33" s="54" t="s">
        <v>13</v>
      </c>
      <c r="G33" s="177"/>
      <c r="H33" s="43" t="s">
        <v>13</v>
      </c>
      <c r="I33" s="55">
        <v>69000</v>
      </c>
      <c r="J33" s="54">
        <v>89800</v>
      </c>
      <c r="K33" s="56">
        <f>(40+43+44+35+35+48)/6</f>
        <v>40.833333333333336</v>
      </c>
      <c r="L33" s="155">
        <f t="shared" si="0"/>
        <v>0.81666666666666676</v>
      </c>
      <c r="M33" s="156">
        <f t="shared" si="1"/>
        <v>56350.000000000007</v>
      </c>
      <c r="N33" s="164">
        <f t="shared" si="2"/>
        <v>56400</v>
      </c>
      <c r="O33" s="164">
        <v>69000</v>
      </c>
      <c r="P33" s="144">
        <v>69000</v>
      </c>
    </row>
    <row r="34" spans="1:16" s="90" customFormat="1" ht="20.100000000000001" customHeight="1" thickBot="1" x14ac:dyDescent="0.35">
      <c r="A34" s="83">
        <v>25</v>
      </c>
      <c r="B34" s="84" t="s">
        <v>51</v>
      </c>
      <c r="C34" s="85" t="s">
        <v>26</v>
      </c>
      <c r="D34" s="86">
        <v>6400</v>
      </c>
      <c r="E34" s="86">
        <v>10000</v>
      </c>
      <c r="F34" s="87">
        <v>10000</v>
      </c>
      <c r="G34" s="87">
        <v>42800</v>
      </c>
      <c r="H34" s="87">
        <v>10000</v>
      </c>
      <c r="I34" s="88">
        <v>10000</v>
      </c>
      <c r="J34" s="87">
        <v>15000</v>
      </c>
      <c r="K34" s="89">
        <f>(50+50+50+50+50+50)/6</f>
        <v>50</v>
      </c>
      <c r="L34" s="146">
        <f t="shared" si="0"/>
        <v>1</v>
      </c>
      <c r="M34" s="147">
        <f t="shared" si="1"/>
        <v>10000</v>
      </c>
      <c r="N34" s="148">
        <f t="shared" si="2"/>
        <v>10000</v>
      </c>
      <c r="O34" s="148">
        <f t="shared" si="2"/>
        <v>10000</v>
      </c>
      <c r="P34" s="126">
        <f t="shared" si="2"/>
        <v>10000</v>
      </c>
    </row>
    <row r="35" spans="1:16" ht="19.5" thickBot="1" x14ac:dyDescent="0.35">
      <c r="A35" s="191" t="s">
        <v>28</v>
      </c>
      <c r="B35" s="192"/>
      <c r="C35" s="192"/>
      <c r="D35" s="192"/>
      <c r="E35" s="192"/>
      <c r="F35" s="193"/>
      <c r="G35" s="26"/>
      <c r="H35" s="28">
        <f>SUM(H4:H34)</f>
        <v>1011800</v>
      </c>
      <c r="I35" s="18">
        <f>SUM(I4:I34)</f>
        <v>1587140</v>
      </c>
      <c r="J35" s="125"/>
      <c r="K35" s="124"/>
      <c r="L35" s="165"/>
      <c r="M35" s="166"/>
      <c r="N35" s="167">
        <f>SUM(N4:N34)</f>
        <v>1252500</v>
      </c>
      <c r="O35" s="167">
        <f>SUM(O4:O34)</f>
        <v>1334860</v>
      </c>
      <c r="P35" s="131">
        <f>SUM(P4:P34)</f>
        <v>1380000</v>
      </c>
    </row>
    <row r="36" spans="1:16" ht="18.75" x14ac:dyDescent="0.3">
      <c r="A36" s="19"/>
      <c r="B36" s="19"/>
      <c r="C36" s="19"/>
      <c r="D36" s="19"/>
      <c r="E36" s="19"/>
      <c r="F36" s="19"/>
      <c r="G36" s="19"/>
      <c r="H36" s="19"/>
      <c r="I36" s="20"/>
      <c r="J36" s="21"/>
      <c r="K36" s="21"/>
      <c r="L36" s="21"/>
      <c r="M36" s="22"/>
    </row>
    <row r="37" spans="1:16" ht="14.25" customHeight="1" x14ac:dyDescent="0.3">
      <c r="A37" s="190" t="s">
        <v>38</v>
      </c>
      <c r="B37" s="190"/>
      <c r="C37" s="19"/>
      <c r="D37" s="19"/>
      <c r="E37" s="19"/>
      <c r="F37" s="19"/>
      <c r="G37" s="19"/>
      <c r="H37" s="19"/>
      <c r="I37" s="20"/>
      <c r="J37" s="21"/>
      <c r="K37" s="21"/>
      <c r="L37" s="21"/>
      <c r="M37" s="22"/>
    </row>
    <row r="38" spans="1:16" ht="18.75" x14ac:dyDescent="0.3">
      <c r="A38" s="189" t="s">
        <v>104</v>
      </c>
      <c r="B38" s="189"/>
      <c r="C38" s="189"/>
      <c r="D38" s="19"/>
      <c r="E38" s="19"/>
      <c r="F38" s="19"/>
      <c r="G38" s="19"/>
      <c r="H38" s="19"/>
      <c r="I38" s="20"/>
      <c r="J38" s="21"/>
      <c r="K38" s="21"/>
      <c r="L38" s="21"/>
      <c r="M38" s="22"/>
      <c r="N38" t="s">
        <v>109</v>
      </c>
      <c r="P38" s="135">
        <f>1380000-O35</f>
        <v>45140</v>
      </c>
    </row>
    <row r="39" spans="1:16" ht="18.75" x14ac:dyDescent="0.3">
      <c r="A39" s="24" t="s">
        <v>39</v>
      </c>
      <c r="B39" s="24"/>
      <c r="C39" s="23"/>
      <c r="D39" s="23"/>
      <c r="E39" s="19"/>
      <c r="F39" s="19"/>
      <c r="G39" s="19"/>
      <c r="H39" s="19"/>
      <c r="I39" s="20"/>
      <c r="J39" s="21"/>
      <c r="K39" s="21"/>
      <c r="L39" s="21"/>
      <c r="M39" s="22"/>
      <c r="N39" t="s">
        <v>110</v>
      </c>
      <c r="P39" s="135">
        <f>P38/6</f>
        <v>7523.333333333333</v>
      </c>
    </row>
    <row r="40" spans="1:16" ht="18.75" x14ac:dyDescent="0.3">
      <c r="A40" s="188" t="s">
        <v>40</v>
      </c>
      <c r="B40" s="188"/>
      <c r="C40" s="188"/>
      <c r="D40" s="19"/>
      <c r="E40" s="19"/>
      <c r="F40" s="19"/>
      <c r="G40" s="19"/>
      <c r="H40" s="19"/>
      <c r="I40" s="20"/>
      <c r="J40" s="21"/>
      <c r="K40" s="21"/>
      <c r="L40" s="21"/>
      <c r="M40" s="22"/>
      <c r="P40" s="135"/>
    </row>
    <row r="41" spans="1:16" ht="18.75" x14ac:dyDescent="0.3">
      <c r="A41" s="136" t="s">
        <v>105</v>
      </c>
      <c r="B41" s="136"/>
      <c r="C41" s="29"/>
      <c r="D41" s="19"/>
      <c r="E41" s="19"/>
      <c r="F41" s="19"/>
      <c r="G41" s="19"/>
      <c r="H41" s="19"/>
      <c r="I41" s="20"/>
      <c r="J41" s="21"/>
      <c r="K41" s="21"/>
      <c r="L41" s="21"/>
      <c r="M41" s="22"/>
    </row>
    <row r="42" spans="1:16" ht="18.75" x14ac:dyDescent="0.3">
      <c r="A42" s="136" t="s">
        <v>107</v>
      </c>
      <c r="B42" s="136"/>
      <c r="C42" s="133"/>
      <c r="D42" s="19"/>
      <c r="E42" s="19"/>
      <c r="F42" s="19"/>
      <c r="G42" s="19"/>
      <c r="H42" s="19"/>
      <c r="I42" s="20"/>
      <c r="J42" s="21"/>
      <c r="K42" s="21"/>
      <c r="L42" s="21"/>
      <c r="M42" s="22"/>
    </row>
    <row r="43" spans="1:16" ht="15.75" x14ac:dyDescent="0.25">
      <c r="A43" s="194" t="s">
        <v>108</v>
      </c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</row>
    <row r="44" spans="1:16" ht="19.5" thickBot="1" x14ac:dyDescent="0.35">
      <c r="A44" s="19"/>
      <c r="B44" s="19"/>
      <c r="C44" s="19"/>
      <c r="D44" s="19"/>
      <c r="E44" s="19"/>
      <c r="F44" s="19"/>
      <c r="G44" s="19"/>
      <c r="H44" s="19"/>
      <c r="I44" s="20"/>
      <c r="J44" s="21"/>
      <c r="K44" s="21"/>
      <c r="L44" s="21"/>
      <c r="M44" s="22"/>
    </row>
    <row r="45" spans="1:16" ht="24.75" customHeight="1" thickBot="1" x14ac:dyDescent="0.3">
      <c r="A45" s="195" t="s">
        <v>47</v>
      </c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7"/>
    </row>
    <row r="46" spans="1:16" ht="57" thickBot="1" x14ac:dyDescent="0.3">
      <c r="A46" s="13" t="s">
        <v>0</v>
      </c>
      <c r="B46" s="13" t="s">
        <v>1</v>
      </c>
      <c r="C46" s="13" t="s">
        <v>5</v>
      </c>
      <c r="D46" s="14" t="s">
        <v>15</v>
      </c>
      <c r="E46" s="14" t="s">
        <v>16</v>
      </c>
      <c r="F46" s="14" t="s">
        <v>14</v>
      </c>
      <c r="G46" s="14" t="s">
        <v>43</v>
      </c>
      <c r="H46" s="14" t="s">
        <v>45</v>
      </c>
      <c r="I46" s="15" t="s">
        <v>49</v>
      </c>
      <c r="J46" s="14" t="s">
        <v>2</v>
      </c>
      <c r="K46" s="15" t="s">
        <v>3</v>
      </c>
      <c r="L46" s="14" t="s">
        <v>102</v>
      </c>
      <c r="M46" s="13" t="s">
        <v>4</v>
      </c>
      <c r="N46" s="14" t="s">
        <v>103</v>
      </c>
      <c r="O46" s="14" t="s">
        <v>111</v>
      </c>
      <c r="P46" s="14" t="s">
        <v>112</v>
      </c>
    </row>
    <row r="47" spans="1:16" s="37" customFormat="1" ht="20.100000000000001" customHeight="1" thickBot="1" x14ac:dyDescent="0.35">
      <c r="A47" s="91" t="s">
        <v>88</v>
      </c>
      <c r="B47" s="111" t="s">
        <v>46</v>
      </c>
      <c r="C47" s="99" t="s">
        <v>48</v>
      </c>
      <c r="D47" s="112">
        <v>22320</v>
      </c>
      <c r="E47" s="112">
        <v>19100</v>
      </c>
      <c r="F47" s="112">
        <v>19100</v>
      </c>
      <c r="G47" s="112">
        <v>19100</v>
      </c>
      <c r="H47" s="112">
        <v>19100</v>
      </c>
      <c r="I47" s="113">
        <v>28000</v>
      </c>
      <c r="J47" s="112">
        <v>48000</v>
      </c>
      <c r="K47" s="92">
        <f>(42+40+44+45+30+25+44)/7</f>
        <v>38.571428571428569</v>
      </c>
      <c r="L47" s="149">
        <f t="shared" ref="L47:L53" si="3">IF(K47&lt;20,0,K47/50)</f>
        <v>0.77142857142857135</v>
      </c>
      <c r="M47" s="106">
        <f t="shared" ref="M47:M53" si="4">I47*L47</f>
        <v>21599.999999999996</v>
      </c>
      <c r="N47" s="150">
        <f t="shared" ref="N47:N53" si="5">ROUND(M47,-2)</f>
        <v>21600</v>
      </c>
      <c r="O47" s="150">
        <f t="shared" ref="O47" si="6">ROUND(N47,-2)</f>
        <v>21600</v>
      </c>
      <c r="P47" s="130">
        <v>28000</v>
      </c>
    </row>
    <row r="48" spans="1:16" s="37" customFormat="1" ht="20.100000000000001" customHeight="1" thickBot="1" x14ac:dyDescent="0.35">
      <c r="A48" s="99" t="s">
        <v>91</v>
      </c>
      <c r="B48" s="92" t="s">
        <v>33</v>
      </c>
      <c r="C48" s="91" t="s">
        <v>79</v>
      </c>
      <c r="D48" s="106">
        <v>50200</v>
      </c>
      <c r="E48" s="107">
        <f>SUM(F48:F48)</f>
        <v>35900</v>
      </c>
      <c r="F48" s="107">
        <v>35900</v>
      </c>
      <c r="G48" s="107">
        <f>SUM(H48:H48)</f>
        <v>43800</v>
      </c>
      <c r="H48" s="108">
        <v>43800</v>
      </c>
      <c r="I48" s="97">
        <v>83910</v>
      </c>
      <c r="J48" s="94">
        <v>161900</v>
      </c>
      <c r="K48" s="92">
        <f>(48+41+48+45+44+42+45)/7</f>
        <v>44.714285714285715</v>
      </c>
      <c r="L48" s="149">
        <f t="shared" si="3"/>
        <v>0.89428571428571435</v>
      </c>
      <c r="M48" s="106">
        <f t="shared" si="4"/>
        <v>75039.514285714293</v>
      </c>
      <c r="N48" s="150">
        <f t="shared" si="5"/>
        <v>75000</v>
      </c>
      <c r="O48" s="150">
        <v>83910</v>
      </c>
      <c r="P48" s="130">
        <v>83910</v>
      </c>
    </row>
    <row r="49" spans="1:16" s="37" customFormat="1" ht="20.100000000000001" customHeight="1" thickBot="1" x14ac:dyDescent="0.35">
      <c r="A49" s="91" t="s">
        <v>93</v>
      </c>
      <c r="B49" s="114" t="s">
        <v>7</v>
      </c>
      <c r="C49" s="115" t="s">
        <v>61</v>
      </c>
      <c r="D49" s="94">
        <v>109056</v>
      </c>
      <c r="E49" s="95">
        <v>150000</v>
      </c>
      <c r="F49" s="94">
        <v>150000</v>
      </c>
      <c r="G49" s="94">
        <v>150000</v>
      </c>
      <c r="H49" s="94">
        <v>150000</v>
      </c>
      <c r="I49" s="116">
        <v>150000</v>
      </c>
      <c r="J49" s="117">
        <v>260000</v>
      </c>
      <c r="K49" s="92">
        <f>(50+50+50+45+50+50+50)/7</f>
        <v>49.285714285714285</v>
      </c>
      <c r="L49" s="149">
        <f t="shared" si="3"/>
        <v>0.98571428571428565</v>
      </c>
      <c r="M49" s="106">
        <f t="shared" si="4"/>
        <v>147857.14285714284</v>
      </c>
      <c r="N49" s="158">
        <f t="shared" si="5"/>
        <v>147900</v>
      </c>
      <c r="O49" s="158">
        <v>150000</v>
      </c>
      <c r="P49" s="132">
        <v>150000</v>
      </c>
    </row>
    <row r="50" spans="1:16" s="37" customFormat="1" ht="20.100000000000001" customHeight="1" thickBot="1" x14ac:dyDescent="0.35">
      <c r="A50" s="99" t="s">
        <v>95</v>
      </c>
      <c r="B50" s="110" t="s">
        <v>67</v>
      </c>
      <c r="C50" s="101" t="s">
        <v>69</v>
      </c>
      <c r="D50" s="112">
        <v>25000</v>
      </c>
      <c r="E50" s="118">
        <v>33600</v>
      </c>
      <c r="F50" s="112">
        <v>33600</v>
      </c>
      <c r="G50" s="112">
        <v>33600</v>
      </c>
      <c r="H50" s="112">
        <v>33600</v>
      </c>
      <c r="I50" s="119">
        <v>48000</v>
      </c>
      <c r="J50" s="117">
        <v>121600</v>
      </c>
      <c r="K50" s="92">
        <f>(46+40+50+50+47+45+25)/7</f>
        <v>43.285714285714285</v>
      </c>
      <c r="L50" s="149">
        <f t="shared" si="3"/>
        <v>0.86571428571428566</v>
      </c>
      <c r="M50" s="106">
        <f t="shared" si="4"/>
        <v>41554.28571428571</v>
      </c>
      <c r="N50" s="150">
        <f t="shared" si="5"/>
        <v>41600</v>
      </c>
      <c r="O50" s="150">
        <v>48000</v>
      </c>
      <c r="P50" s="130">
        <v>48000</v>
      </c>
    </row>
    <row r="51" spans="1:16" s="37" customFormat="1" ht="20.100000000000001" customHeight="1" thickBot="1" x14ac:dyDescent="0.35">
      <c r="A51" s="91" t="s">
        <v>97</v>
      </c>
      <c r="B51" s="92" t="s">
        <v>71</v>
      </c>
      <c r="C51" s="93" t="s">
        <v>72</v>
      </c>
      <c r="D51" s="94">
        <v>15120</v>
      </c>
      <c r="E51" s="95">
        <v>26200</v>
      </c>
      <c r="F51" s="94">
        <v>26200</v>
      </c>
      <c r="G51" s="120">
        <v>25000</v>
      </c>
      <c r="H51" s="120">
        <v>25000</v>
      </c>
      <c r="I51" s="97">
        <v>31800</v>
      </c>
      <c r="J51" s="117">
        <v>35800</v>
      </c>
      <c r="K51" s="92">
        <f>(34+43+48+40+38+45+47)/7</f>
        <v>42.142857142857146</v>
      </c>
      <c r="L51" s="149">
        <f t="shared" si="3"/>
        <v>0.84285714285714297</v>
      </c>
      <c r="M51" s="106">
        <f t="shared" si="4"/>
        <v>26802.857142857145</v>
      </c>
      <c r="N51" s="150">
        <f t="shared" si="5"/>
        <v>26800</v>
      </c>
      <c r="O51" s="150">
        <v>31800</v>
      </c>
      <c r="P51" s="130">
        <v>31800</v>
      </c>
    </row>
    <row r="52" spans="1:16" s="37" customFormat="1" ht="20.100000000000001" customHeight="1" thickBot="1" x14ac:dyDescent="0.35">
      <c r="A52" s="91" t="s">
        <v>99</v>
      </c>
      <c r="B52" s="92" t="s">
        <v>77</v>
      </c>
      <c r="C52" s="93" t="s">
        <v>78</v>
      </c>
      <c r="D52" s="94">
        <v>38800</v>
      </c>
      <c r="E52" s="95">
        <f>10300+13200+10000+14850</f>
        <v>48350</v>
      </c>
      <c r="F52" s="94">
        <v>10300</v>
      </c>
      <c r="G52" s="94">
        <v>43200</v>
      </c>
      <c r="H52" s="94">
        <v>36000</v>
      </c>
      <c r="I52" s="116">
        <v>15000</v>
      </c>
      <c r="J52" s="117">
        <v>17000</v>
      </c>
      <c r="K52" s="92">
        <f>(29+35+50+45+40+35+35)/7</f>
        <v>38.428571428571431</v>
      </c>
      <c r="L52" s="149">
        <f t="shared" si="3"/>
        <v>0.76857142857142857</v>
      </c>
      <c r="M52" s="106">
        <f t="shared" si="4"/>
        <v>11528.571428571429</v>
      </c>
      <c r="N52" s="150">
        <f t="shared" si="5"/>
        <v>11500</v>
      </c>
      <c r="O52" s="150">
        <f t="shared" ref="O52:O53" si="7">ROUND(N52,-2)</f>
        <v>11500</v>
      </c>
      <c r="P52" s="130">
        <v>15000</v>
      </c>
    </row>
    <row r="53" spans="1:16" s="37" customFormat="1" ht="20.100000000000001" customHeight="1" thickBot="1" x14ac:dyDescent="0.35">
      <c r="A53" s="121" t="s">
        <v>101</v>
      </c>
      <c r="B53" s="92" t="s">
        <v>53</v>
      </c>
      <c r="C53" s="91" t="s">
        <v>32</v>
      </c>
      <c r="D53" s="117">
        <v>78800</v>
      </c>
      <c r="E53" s="122">
        <v>57700</v>
      </c>
      <c r="F53" s="123">
        <v>57700</v>
      </c>
      <c r="G53" s="123">
        <v>57700</v>
      </c>
      <c r="H53" s="123">
        <v>57700</v>
      </c>
      <c r="I53" s="116">
        <v>76000</v>
      </c>
      <c r="J53" s="122">
        <v>160250</v>
      </c>
      <c r="K53" s="92">
        <f>(44+44+44+30+32+38)/6</f>
        <v>38.666666666666664</v>
      </c>
      <c r="L53" s="149">
        <f t="shared" si="3"/>
        <v>0.77333333333333332</v>
      </c>
      <c r="M53" s="106">
        <f t="shared" si="4"/>
        <v>58773.333333333328</v>
      </c>
      <c r="N53" s="150">
        <f t="shared" si="5"/>
        <v>58800</v>
      </c>
      <c r="O53" s="150">
        <f t="shared" si="7"/>
        <v>58800</v>
      </c>
      <c r="P53" s="130">
        <f>ROUND(O53,-2)+7500</f>
        <v>66300</v>
      </c>
    </row>
    <row r="54" spans="1:16" ht="19.5" thickBot="1" x14ac:dyDescent="0.35">
      <c r="A54" s="185" t="s">
        <v>28</v>
      </c>
      <c r="B54" s="186"/>
      <c r="C54" s="186"/>
      <c r="D54" s="186"/>
      <c r="E54" s="186"/>
      <c r="F54" s="187"/>
      <c r="G54" s="25"/>
      <c r="H54" s="25"/>
      <c r="I54" s="16">
        <f>SUM(I47:I53)</f>
        <v>432710</v>
      </c>
      <c r="J54" s="17"/>
      <c r="K54" s="17"/>
      <c r="L54" s="17"/>
      <c r="M54" s="168"/>
      <c r="N54" s="169">
        <f>SUM(N47:N53)</f>
        <v>383200</v>
      </c>
      <c r="O54" s="169">
        <f>SUM(O47:O53)</f>
        <v>405610</v>
      </c>
      <c r="P54" s="27">
        <f>SUM(P47:P53)</f>
        <v>423010</v>
      </c>
    </row>
    <row r="55" spans="1:16" ht="39" customHeight="1" thickBot="1" x14ac:dyDescent="0.3"/>
    <row r="56" spans="1:16" ht="20.100000000000001" customHeight="1" thickBot="1" x14ac:dyDescent="0.3">
      <c r="B56" s="183" t="s">
        <v>85</v>
      </c>
      <c r="C56" s="184"/>
    </row>
    <row r="57" spans="1:16" ht="20.100000000000001" customHeight="1" thickBot="1" x14ac:dyDescent="0.35">
      <c r="B57" s="3" t="s">
        <v>86</v>
      </c>
      <c r="C57" s="2">
        <v>1500000</v>
      </c>
    </row>
    <row r="58" spans="1:16" ht="20.100000000000001" customHeight="1" thickBot="1" x14ac:dyDescent="0.35">
      <c r="B58" s="3" t="s">
        <v>87</v>
      </c>
      <c r="C58" s="2">
        <v>120000</v>
      </c>
    </row>
    <row r="59" spans="1:16" ht="20.100000000000001" customHeight="1" thickBot="1" x14ac:dyDescent="0.35">
      <c r="B59" s="4" t="s">
        <v>31</v>
      </c>
      <c r="C59" s="5">
        <f>C57-C58</f>
        <v>1380000</v>
      </c>
    </row>
    <row r="60" spans="1:16" ht="32.25" customHeight="1" x14ac:dyDescent="0.25">
      <c r="A60" t="s">
        <v>114</v>
      </c>
      <c r="K60" s="1"/>
      <c r="L60" s="1"/>
    </row>
  </sheetData>
  <mergeCells count="35">
    <mergeCell ref="A9:A10"/>
    <mergeCell ref="B9:B10"/>
    <mergeCell ref="B15:B16"/>
    <mergeCell ref="A15:A16"/>
    <mergeCell ref="A1:P1"/>
    <mergeCell ref="A2:P2"/>
    <mergeCell ref="G9:G10"/>
    <mergeCell ref="G15:G16"/>
    <mergeCell ref="D9:D10"/>
    <mergeCell ref="E9:E10"/>
    <mergeCell ref="D15:D16"/>
    <mergeCell ref="E15:E16"/>
    <mergeCell ref="B56:C56"/>
    <mergeCell ref="A54:F54"/>
    <mergeCell ref="D32:D33"/>
    <mergeCell ref="E32:E33"/>
    <mergeCell ref="B32:B33"/>
    <mergeCell ref="A32:A33"/>
    <mergeCell ref="A40:C40"/>
    <mergeCell ref="A38:C38"/>
    <mergeCell ref="A37:B37"/>
    <mergeCell ref="A35:F35"/>
    <mergeCell ref="A43:P43"/>
    <mergeCell ref="G32:G33"/>
    <mergeCell ref="A45:N45"/>
    <mergeCell ref="B27:B28"/>
    <mergeCell ref="A27:A28"/>
    <mergeCell ref="D27:D28"/>
    <mergeCell ref="G18:G20"/>
    <mergeCell ref="G27:G28"/>
    <mergeCell ref="D18:D20"/>
    <mergeCell ref="B18:B20"/>
    <mergeCell ref="A18:A20"/>
    <mergeCell ref="E18:E20"/>
    <mergeCell ref="E27:E28"/>
  </mergeCells>
  <pageMargins left="0.7" right="0.7" top="0.78740157499999996" bottom="0.78740157499999996" header="0.3" footer="0.3"/>
  <pageSetup paperSize="8" scale="5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Škeříková Michaela</dc:creator>
  <cp:lastModifiedBy>Dvořáková Pavla</cp:lastModifiedBy>
  <cp:lastPrinted>2019-11-20T07:23:44Z</cp:lastPrinted>
  <dcterms:created xsi:type="dcterms:W3CDTF">2018-11-09T06:26:54Z</dcterms:created>
  <dcterms:modified xsi:type="dcterms:W3CDTF">2019-11-20T07:23:50Z</dcterms:modified>
</cp:coreProperties>
</file>